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480" windowWidth="17895" windowHeight="7365" tabRatio="981" firstSheet="9" activeTab="18"/>
  </bookViews>
  <sheets>
    <sheet name="IFPA" sheetId="1" r:id="rId1"/>
    <sheet name="CAMPUS ABAETETUBA" sheetId="2" r:id="rId2"/>
    <sheet name="CAMPUS ALTAMIRA" sheetId="3" r:id="rId3"/>
    <sheet name="CAMPUS ANANINDEUA" sheetId="4" r:id="rId4"/>
    <sheet name="CAMPUS BELEM" sheetId="6" r:id="rId5"/>
    <sheet name="CAMPUS BRAGANCA" sheetId="7" r:id="rId6"/>
    <sheet name="CAMPUS CASTANHAL" sheetId="10" r:id="rId7"/>
    <sheet name="CAMPUS CONCEICAO DO ARAGUAIA" sheetId="11" r:id="rId8"/>
    <sheet name="CAMPUS MARABA INDUSTRIAL" sheetId="13" r:id="rId9"/>
    <sheet name="CAMPUS MARABA RURAL" sheetId="14" r:id="rId10"/>
    <sheet name="CAMPUS SANTAREM" sheetId="18" r:id="rId11"/>
    <sheet name="CAMPUS TUCURUI" sheetId="19" r:id="rId12"/>
    <sheet name="CAMPUS AVANÇADO VIGIA" sheetId="20" r:id="rId13"/>
    <sheet name="CAMPUS BREVES" sheetId="21" r:id="rId14"/>
    <sheet name="CAMPUS CAMETÁ" sheetId="22" r:id="rId15"/>
    <sheet name="CAMPUS ITAITUBA" sheetId="23" r:id="rId16"/>
    <sheet name="CAMPUS ÓBIDOS" sheetId="24" r:id="rId17"/>
    <sheet name="PARAGOMINAS" sheetId="25" r:id="rId18"/>
    <sheet name="CAMPUS PARAUAPEBAS" sheetId="26" r:id="rId19"/>
  </sheets>
  <calcPr calcId="124519"/>
</workbook>
</file>

<file path=xl/calcChain.xml><?xml version="1.0" encoding="utf-8"?>
<calcChain xmlns="http://schemas.openxmlformats.org/spreadsheetml/2006/main">
  <c r="BC14" i="26"/>
  <c r="AR14"/>
  <c r="AQ14"/>
  <c r="AX14" s="1"/>
  <c r="AM14"/>
  <c r="AB14"/>
  <c r="AG14" s="1"/>
  <c r="AA14"/>
  <c r="P14"/>
  <c r="AE14" s="1"/>
  <c r="O14"/>
  <c r="AW14" s="1"/>
  <c r="BC13"/>
  <c r="AR13"/>
  <c r="AQ13"/>
  <c r="AX13" s="1"/>
  <c r="AM13"/>
  <c r="AB13"/>
  <c r="AG13" s="1"/>
  <c r="AA13"/>
  <c r="P13"/>
  <c r="AE13" s="1"/>
  <c r="O13"/>
  <c r="AW13" s="1"/>
  <c r="BC12"/>
  <c r="AR12"/>
  <c r="AQ12"/>
  <c r="AX12" s="1"/>
  <c r="AM12"/>
  <c r="AB12"/>
  <c r="AG12" s="1"/>
  <c r="AA12"/>
  <c r="P12"/>
  <c r="AE12" s="1"/>
  <c r="O12"/>
  <c r="AW12" s="1"/>
  <c r="BC11"/>
  <c r="AR11"/>
  <c r="AQ11"/>
  <c r="AX11" s="1"/>
  <c r="AM11"/>
  <c r="AB11"/>
  <c r="AG11" s="1"/>
  <c r="AA11"/>
  <c r="P11"/>
  <c r="AE11" s="1"/>
  <c r="O11"/>
  <c r="AW11" s="1"/>
  <c r="BC10"/>
  <c r="AR10"/>
  <c r="AQ10"/>
  <c r="AX10" s="1"/>
  <c r="AM10"/>
  <c r="AB10"/>
  <c r="AG10" s="1"/>
  <c r="AA10"/>
  <c r="P10"/>
  <c r="AE10" s="1"/>
  <c r="O10"/>
  <c r="AW10" s="1"/>
  <c r="BC9"/>
  <c r="AR9"/>
  <c r="AQ9"/>
  <c r="AX9" s="1"/>
  <c r="AM9"/>
  <c r="AB9"/>
  <c r="AG9" s="1"/>
  <c r="AA9"/>
  <c r="P9"/>
  <c r="AE9" s="1"/>
  <c r="O9"/>
  <c r="AW9" s="1"/>
  <c r="BC8"/>
  <c r="AR8"/>
  <c r="AQ8"/>
  <c r="AX8" s="1"/>
  <c r="AM8"/>
  <c r="AB8"/>
  <c r="AG8" s="1"/>
  <c r="AA8"/>
  <c r="P8"/>
  <c r="AE8" s="1"/>
  <c r="O8"/>
  <c r="AW8" s="1"/>
  <c r="BC7"/>
  <c r="AR7"/>
  <c r="AQ7"/>
  <c r="AX7" s="1"/>
  <c r="AM7"/>
  <c r="AB7"/>
  <c r="AG7" s="1"/>
  <c r="AA7"/>
  <c r="P7"/>
  <c r="AE7" s="1"/>
  <c r="O7"/>
  <c r="AW7" s="1"/>
  <c r="BC6"/>
  <c r="AR6"/>
  <c r="AQ6"/>
  <c r="AX6" s="1"/>
  <c r="AM6"/>
  <c r="AB6"/>
  <c r="AG6" s="1"/>
  <c r="AA6"/>
  <c r="P6"/>
  <c r="AE6" s="1"/>
  <c r="O6"/>
  <c r="AW6" s="1"/>
  <c r="BC5"/>
  <c r="AR5"/>
  <c r="AQ5"/>
  <c r="AX5" s="1"/>
  <c r="AM5"/>
  <c r="AB5"/>
  <c r="AG5" s="1"/>
  <c r="AA5"/>
  <c r="P5"/>
  <c r="AE5" s="1"/>
  <c r="O5"/>
  <c r="AW5" s="1"/>
  <c r="BC4"/>
  <c r="AR4"/>
  <c r="AQ4"/>
  <c r="AX4" s="1"/>
  <c r="AM4"/>
  <c r="AB4"/>
  <c r="AG4" s="1"/>
  <c r="AA4"/>
  <c r="P4"/>
  <c r="AE4" s="1"/>
  <c r="O4"/>
  <c r="AW4" s="1"/>
  <c r="BC3"/>
  <c r="AR3"/>
  <c r="AQ3"/>
  <c r="AX3" s="1"/>
  <c r="AM3"/>
  <c r="AB3"/>
  <c r="AG3" s="1"/>
  <c r="AA3"/>
  <c r="P3"/>
  <c r="AE3" s="1"/>
  <c r="O3"/>
  <c r="AW3" s="1"/>
  <c r="BC12" i="25"/>
  <c r="AR12"/>
  <c r="AQ12"/>
  <c r="AM12"/>
  <c r="AB12"/>
  <c r="AA12"/>
  <c r="P12"/>
  <c r="U12" s="1"/>
  <c r="O12"/>
  <c r="AW12" s="1"/>
  <c r="BC11"/>
  <c r="AR11"/>
  <c r="AQ11"/>
  <c r="AM11"/>
  <c r="AB11"/>
  <c r="AA11"/>
  <c r="P11"/>
  <c r="AE11" s="1"/>
  <c r="O11"/>
  <c r="AW11" s="1"/>
  <c r="BC10"/>
  <c r="AR10"/>
  <c r="AQ10"/>
  <c r="AM10"/>
  <c r="AB10"/>
  <c r="AA10"/>
  <c r="P10"/>
  <c r="AE10" s="1"/>
  <c r="O10"/>
  <c r="AW10" s="1"/>
  <c r="BC9"/>
  <c r="AR9"/>
  <c r="AQ9"/>
  <c r="AM9"/>
  <c r="AB9"/>
  <c r="AA9"/>
  <c r="P9"/>
  <c r="AE9" s="1"/>
  <c r="O9"/>
  <c r="AW9" s="1"/>
  <c r="BC8"/>
  <c r="AR8"/>
  <c r="AQ8"/>
  <c r="AM8"/>
  <c r="AB8"/>
  <c r="AA8"/>
  <c r="P8"/>
  <c r="U8" s="1"/>
  <c r="O8"/>
  <c r="AW8" s="1"/>
  <c r="BC7"/>
  <c r="AR7"/>
  <c r="AQ7"/>
  <c r="AM7"/>
  <c r="AB7"/>
  <c r="AA7"/>
  <c r="P7"/>
  <c r="U7" s="1"/>
  <c r="O7"/>
  <c r="AW7" s="1"/>
  <c r="BC6"/>
  <c r="AR6"/>
  <c r="AQ6"/>
  <c r="AM6"/>
  <c r="AB6"/>
  <c r="AA6"/>
  <c r="P6"/>
  <c r="U6" s="1"/>
  <c r="O6"/>
  <c r="AW6" s="1"/>
  <c r="BC5"/>
  <c r="AR5"/>
  <c r="AQ5"/>
  <c r="AM5"/>
  <c r="AB5"/>
  <c r="AA5"/>
  <c r="P5"/>
  <c r="U5" s="1"/>
  <c r="O5"/>
  <c r="AW5" s="1"/>
  <c r="BC4"/>
  <c r="AR4"/>
  <c r="AQ4"/>
  <c r="AM4"/>
  <c r="AB4"/>
  <c r="AA4"/>
  <c r="P4"/>
  <c r="U4" s="1"/>
  <c r="O4"/>
  <c r="AW4" s="1"/>
  <c r="BC3"/>
  <c r="AR3"/>
  <c r="AQ3"/>
  <c r="AM3"/>
  <c r="AB3"/>
  <c r="AA3"/>
  <c r="P3"/>
  <c r="U3" s="1"/>
  <c r="O3"/>
  <c r="AW3" s="1"/>
  <c r="AR13" i="24"/>
  <c r="AQ13"/>
  <c r="AB13"/>
  <c r="AA13"/>
  <c r="P13"/>
  <c r="U13" s="1"/>
  <c r="O13"/>
  <c r="AW13" s="1"/>
  <c r="BC12"/>
  <c r="AR12"/>
  <c r="AQ12"/>
  <c r="AM12"/>
  <c r="AB12"/>
  <c r="AA12"/>
  <c r="P12"/>
  <c r="U12" s="1"/>
  <c r="O12"/>
  <c r="AW12" s="1"/>
  <c r="BC11"/>
  <c r="AR11"/>
  <c r="AQ11"/>
  <c r="AM11"/>
  <c r="AB11"/>
  <c r="AA11"/>
  <c r="P11"/>
  <c r="U11" s="1"/>
  <c r="O11"/>
  <c r="AW11" s="1"/>
  <c r="BC10"/>
  <c r="AR10"/>
  <c r="AQ10"/>
  <c r="AM10"/>
  <c r="AB10"/>
  <c r="AA10"/>
  <c r="P10"/>
  <c r="U10" s="1"/>
  <c r="O10"/>
  <c r="AW10" s="1"/>
  <c r="BC9"/>
  <c r="AR9"/>
  <c r="AQ9"/>
  <c r="AM9"/>
  <c r="AB9"/>
  <c r="AA9"/>
  <c r="P9"/>
  <c r="U9" s="1"/>
  <c r="O9"/>
  <c r="AW9" s="1"/>
  <c r="BC8"/>
  <c r="AR8"/>
  <c r="AQ8"/>
  <c r="AM8"/>
  <c r="AB8"/>
  <c r="AA8"/>
  <c r="P8"/>
  <c r="U8" s="1"/>
  <c r="O8"/>
  <c r="AW8" s="1"/>
  <c r="BC7"/>
  <c r="AR7"/>
  <c r="AQ7"/>
  <c r="AM7"/>
  <c r="AB7"/>
  <c r="AA7"/>
  <c r="P7"/>
  <c r="U7" s="1"/>
  <c r="O7"/>
  <c r="AW7" s="1"/>
  <c r="BC6"/>
  <c r="AR6"/>
  <c r="AQ6"/>
  <c r="AM6"/>
  <c r="AB6"/>
  <c r="AA6"/>
  <c r="P6"/>
  <c r="U6" s="1"/>
  <c r="O6"/>
  <c r="AW6" s="1"/>
  <c r="BC5"/>
  <c r="AR5"/>
  <c r="AQ5"/>
  <c r="AM5"/>
  <c r="AB5"/>
  <c r="AA5"/>
  <c r="P5"/>
  <c r="U5" s="1"/>
  <c r="O5"/>
  <c r="AW5" s="1"/>
  <c r="BC4"/>
  <c r="AR4"/>
  <c r="AQ4"/>
  <c r="AM4"/>
  <c r="AB4"/>
  <c r="AA4"/>
  <c r="P4"/>
  <c r="U4" s="1"/>
  <c r="O4"/>
  <c r="AW4" s="1"/>
  <c r="BC3"/>
  <c r="AR3"/>
  <c r="AQ3"/>
  <c r="AM3"/>
  <c r="AB3"/>
  <c r="AA3"/>
  <c r="P3"/>
  <c r="U3" s="1"/>
  <c r="O3"/>
  <c r="AW3" s="1"/>
  <c r="BC39" i="23"/>
  <c r="AR39"/>
  <c r="AQ39"/>
  <c r="AM39"/>
  <c r="AB39"/>
  <c r="AA39"/>
  <c r="P39"/>
  <c r="U39" s="1"/>
  <c r="O39"/>
  <c r="AW39" s="1"/>
  <c r="BC38"/>
  <c r="AR38"/>
  <c r="AQ38"/>
  <c r="AM38"/>
  <c r="AB38"/>
  <c r="AA38"/>
  <c r="P38"/>
  <c r="U38" s="1"/>
  <c r="O38"/>
  <c r="AW38" s="1"/>
  <c r="BC37"/>
  <c r="AR37"/>
  <c r="AQ37"/>
  <c r="AM37"/>
  <c r="AB37"/>
  <c r="AA37"/>
  <c r="P37"/>
  <c r="U37" s="1"/>
  <c r="O37"/>
  <c r="AW37" s="1"/>
  <c r="BC36"/>
  <c r="AR36"/>
  <c r="AQ36"/>
  <c r="AM36"/>
  <c r="AB36"/>
  <c r="AA36"/>
  <c r="P36"/>
  <c r="U36" s="1"/>
  <c r="O36"/>
  <c r="AW36" s="1"/>
  <c r="BC35"/>
  <c r="AR35"/>
  <c r="AQ35"/>
  <c r="AM35"/>
  <c r="AB35"/>
  <c r="AA35"/>
  <c r="P35"/>
  <c r="U35" s="1"/>
  <c r="O35"/>
  <c r="AW35" s="1"/>
  <c r="BC34"/>
  <c r="AR34"/>
  <c r="AQ34"/>
  <c r="AM34"/>
  <c r="AB34"/>
  <c r="AA34"/>
  <c r="P34"/>
  <c r="U34" s="1"/>
  <c r="O34"/>
  <c r="AW34" s="1"/>
  <c r="BC33"/>
  <c r="AR33"/>
  <c r="AQ33"/>
  <c r="AM33"/>
  <c r="AB33"/>
  <c r="AA33"/>
  <c r="P33"/>
  <c r="U33" s="1"/>
  <c r="O33"/>
  <c r="AW33" s="1"/>
  <c r="BC32"/>
  <c r="AR32"/>
  <c r="AQ32"/>
  <c r="AM32"/>
  <c r="AB32"/>
  <c r="AA32"/>
  <c r="P32"/>
  <c r="U32" s="1"/>
  <c r="O32"/>
  <c r="AW32" s="1"/>
  <c r="BC31"/>
  <c r="AR31"/>
  <c r="AQ31"/>
  <c r="AM31"/>
  <c r="AB31"/>
  <c r="AA31"/>
  <c r="P31"/>
  <c r="U31" s="1"/>
  <c r="O31"/>
  <c r="AW31" s="1"/>
  <c r="BC30"/>
  <c r="AR30"/>
  <c r="AQ30"/>
  <c r="AM30"/>
  <c r="AB30"/>
  <c r="AA30"/>
  <c r="P30"/>
  <c r="U30" s="1"/>
  <c r="O30"/>
  <c r="AW30" s="1"/>
  <c r="BC29"/>
  <c r="AR29"/>
  <c r="AQ29"/>
  <c r="AM29"/>
  <c r="AB29"/>
  <c r="AA29"/>
  <c r="P29"/>
  <c r="U29" s="1"/>
  <c r="O29"/>
  <c r="AW29" s="1"/>
  <c r="BC28"/>
  <c r="AR28"/>
  <c r="AQ28"/>
  <c r="AM28"/>
  <c r="AB28"/>
  <c r="AA28"/>
  <c r="P28"/>
  <c r="U28" s="1"/>
  <c r="O28"/>
  <c r="AW28" s="1"/>
  <c r="BC27"/>
  <c r="AR27"/>
  <c r="AQ27"/>
  <c r="AM27"/>
  <c r="AB27"/>
  <c r="AA27"/>
  <c r="P27"/>
  <c r="U27" s="1"/>
  <c r="O27"/>
  <c r="AW27" s="1"/>
  <c r="BC26"/>
  <c r="AR26"/>
  <c r="AQ26"/>
  <c r="AM26"/>
  <c r="AB26"/>
  <c r="AA26"/>
  <c r="P26"/>
  <c r="U26" s="1"/>
  <c r="O26"/>
  <c r="AW26" s="1"/>
  <c r="BC25"/>
  <c r="AR25"/>
  <c r="AQ25"/>
  <c r="AM25"/>
  <c r="AB25"/>
  <c r="AA25"/>
  <c r="P25"/>
  <c r="U25" s="1"/>
  <c r="O25"/>
  <c r="AW25" s="1"/>
  <c r="BC24"/>
  <c r="AR24"/>
  <c r="AQ24"/>
  <c r="AM24"/>
  <c r="AB24"/>
  <c r="AA24"/>
  <c r="P24"/>
  <c r="U24" s="1"/>
  <c r="O24"/>
  <c r="AW24" s="1"/>
  <c r="BC23"/>
  <c r="AR23"/>
  <c r="AQ23"/>
  <c r="AM23"/>
  <c r="AB23"/>
  <c r="AA23"/>
  <c r="P23"/>
  <c r="U23" s="1"/>
  <c r="O23"/>
  <c r="AW23" s="1"/>
  <c r="BC22"/>
  <c r="AR22"/>
  <c r="AQ22"/>
  <c r="AM22"/>
  <c r="AB22"/>
  <c r="AA22"/>
  <c r="P22"/>
  <c r="U22" s="1"/>
  <c r="O22"/>
  <c r="AW22" s="1"/>
  <c r="BC21"/>
  <c r="AR21"/>
  <c r="AQ21"/>
  <c r="AM21"/>
  <c r="AB21"/>
  <c r="AA21"/>
  <c r="P21"/>
  <c r="U21" s="1"/>
  <c r="O21"/>
  <c r="AW21" s="1"/>
  <c r="BC20"/>
  <c r="AR20"/>
  <c r="AQ20"/>
  <c r="AM20"/>
  <c r="AB20"/>
  <c r="AA20"/>
  <c r="P20"/>
  <c r="U20" s="1"/>
  <c r="O20"/>
  <c r="AW20" s="1"/>
  <c r="BC19"/>
  <c r="AR19"/>
  <c r="AQ19"/>
  <c r="AM19"/>
  <c r="AB19"/>
  <c r="AA19"/>
  <c r="P19"/>
  <c r="U19" s="1"/>
  <c r="O19"/>
  <c r="AW19" s="1"/>
  <c r="BC18"/>
  <c r="AR18"/>
  <c r="AQ18"/>
  <c r="AM18"/>
  <c r="AB18"/>
  <c r="AA18"/>
  <c r="P18"/>
  <c r="U18" s="1"/>
  <c r="O18"/>
  <c r="AW18" s="1"/>
  <c r="BC17"/>
  <c r="AR17"/>
  <c r="AQ17"/>
  <c r="AM17"/>
  <c r="AB17"/>
  <c r="AA17"/>
  <c r="P17"/>
  <c r="U17" s="1"/>
  <c r="O17"/>
  <c r="AW17" s="1"/>
  <c r="BC16"/>
  <c r="AR16"/>
  <c r="AQ16"/>
  <c r="AM16"/>
  <c r="AB16"/>
  <c r="AA16"/>
  <c r="P16"/>
  <c r="U16" s="1"/>
  <c r="O16"/>
  <c r="AW16" s="1"/>
  <c r="BC15"/>
  <c r="AR15"/>
  <c r="AQ15"/>
  <c r="AM15"/>
  <c r="AB15"/>
  <c r="AA15"/>
  <c r="P15"/>
  <c r="U15" s="1"/>
  <c r="O15"/>
  <c r="AW15" s="1"/>
  <c r="BC14"/>
  <c r="AR14"/>
  <c r="AQ14"/>
  <c r="AM14"/>
  <c r="AB14"/>
  <c r="AA14"/>
  <c r="P14"/>
  <c r="U14" s="1"/>
  <c r="O14"/>
  <c r="AW14" s="1"/>
  <c r="BC13"/>
  <c r="AR13"/>
  <c r="AQ13"/>
  <c r="AM13"/>
  <c r="AB13"/>
  <c r="AA13"/>
  <c r="P13"/>
  <c r="U13" s="1"/>
  <c r="O13"/>
  <c r="AW13" s="1"/>
  <c r="BC12"/>
  <c r="AR12"/>
  <c r="AQ12"/>
  <c r="AM12"/>
  <c r="AB12"/>
  <c r="AA12"/>
  <c r="P12"/>
  <c r="U12" s="1"/>
  <c r="O12"/>
  <c r="AW12" s="1"/>
  <c r="BC11"/>
  <c r="AR11"/>
  <c r="AQ11"/>
  <c r="AM11"/>
  <c r="AB11"/>
  <c r="AA11"/>
  <c r="P11"/>
  <c r="U11" s="1"/>
  <c r="O11"/>
  <c r="AW11" s="1"/>
  <c r="BC10"/>
  <c r="AR10"/>
  <c r="AQ10"/>
  <c r="AM10"/>
  <c r="AB10"/>
  <c r="AA10"/>
  <c r="P10"/>
  <c r="U10" s="1"/>
  <c r="O10"/>
  <c r="AW10" s="1"/>
  <c r="AR9"/>
  <c r="AQ9"/>
  <c r="AB9"/>
  <c r="AA9"/>
  <c r="P9"/>
  <c r="U9" s="1"/>
  <c r="O9"/>
  <c r="AW9" s="1"/>
  <c r="BC8"/>
  <c r="AR8"/>
  <c r="AQ8"/>
  <c r="AM8"/>
  <c r="AB8"/>
  <c r="AA8"/>
  <c r="P8"/>
  <c r="U8" s="1"/>
  <c r="O8"/>
  <c r="AW8" s="1"/>
  <c r="BC7"/>
  <c r="AR7"/>
  <c r="AQ7"/>
  <c r="AM7"/>
  <c r="AB7"/>
  <c r="AA7"/>
  <c r="P7"/>
  <c r="U7" s="1"/>
  <c r="O7"/>
  <c r="AW7" s="1"/>
  <c r="AR6"/>
  <c r="AQ6"/>
  <c r="AB6"/>
  <c r="AA6"/>
  <c r="P6"/>
  <c r="U6" s="1"/>
  <c r="O6"/>
  <c r="AW6" s="1"/>
  <c r="BC5"/>
  <c r="AR5"/>
  <c r="AQ5"/>
  <c r="AM5"/>
  <c r="AB5"/>
  <c r="AA5"/>
  <c r="P5"/>
  <c r="U5" s="1"/>
  <c r="O5"/>
  <c r="AW5" s="1"/>
  <c r="BC4"/>
  <c r="AR4"/>
  <c r="AQ4"/>
  <c r="AM4"/>
  <c r="AB4"/>
  <c r="AA4"/>
  <c r="P4"/>
  <c r="U4" s="1"/>
  <c r="O4"/>
  <c r="AW4" s="1"/>
  <c r="BC3"/>
  <c r="AR3"/>
  <c r="AQ3"/>
  <c r="AM3"/>
  <c r="AB3"/>
  <c r="AA3"/>
  <c r="P3"/>
  <c r="U3" s="1"/>
  <c r="O3"/>
  <c r="AW3" s="1"/>
  <c r="BC13" i="22"/>
  <c r="AR13"/>
  <c r="AQ13"/>
  <c r="AM13"/>
  <c r="AB13"/>
  <c r="AA13"/>
  <c r="P13"/>
  <c r="U13" s="1"/>
  <c r="O13"/>
  <c r="AW13" s="1"/>
  <c r="AR12"/>
  <c r="AQ12"/>
  <c r="AB12"/>
  <c r="AA12"/>
  <c r="P12"/>
  <c r="U12" s="1"/>
  <c r="O12"/>
  <c r="AW12" s="1"/>
  <c r="BC11"/>
  <c r="AR11"/>
  <c r="AQ11"/>
  <c r="AM11"/>
  <c r="AB11"/>
  <c r="AA11"/>
  <c r="P11"/>
  <c r="U11" s="1"/>
  <c r="O11"/>
  <c r="AW11" s="1"/>
  <c r="BC10"/>
  <c r="AR10"/>
  <c r="AQ10"/>
  <c r="AM10"/>
  <c r="AB10"/>
  <c r="AA10"/>
  <c r="P10"/>
  <c r="U10" s="1"/>
  <c r="O10"/>
  <c r="AW10" s="1"/>
  <c r="BC9"/>
  <c r="AR9"/>
  <c r="AQ9"/>
  <c r="AM9"/>
  <c r="AB9"/>
  <c r="AA9"/>
  <c r="P9"/>
  <c r="U9" s="1"/>
  <c r="O9"/>
  <c r="AW9" s="1"/>
  <c r="BC8"/>
  <c r="AR8"/>
  <c r="AQ8"/>
  <c r="AM8"/>
  <c r="AB8"/>
  <c r="AA8"/>
  <c r="P8"/>
  <c r="U8" s="1"/>
  <c r="O8"/>
  <c r="AW8" s="1"/>
  <c r="BC7"/>
  <c r="AR7"/>
  <c r="AQ7"/>
  <c r="AM7"/>
  <c r="AB7"/>
  <c r="AA7"/>
  <c r="P7"/>
  <c r="U7" s="1"/>
  <c r="O7"/>
  <c r="AW7" s="1"/>
  <c r="BC6"/>
  <c r="AR6"/>
  <c r="AQ6"/>
  <c r="AM6"/>
  <c r="AB6"/>
  <c r="AA6"/>
  <c r="P6"/>
  <c r="U6" s="1"/>
  <c r="O6"/>
  <c r="AW6" s="1"/>
  <c r="BC5"/>
  <c r="AR5"/>
  <c r="AQ5"/>
  <c r="AM5"/>
  <c r="AB5"/>
  <c r="AA5"/>
  <c r="P5"/>
  <c r="U5" s="1"/>
  <c r="O5"/>
  <c r="AW5" s="1"/>
  <c r="BC4"/>
  <c r="AR4"/>
  <c r="AQ4"/>
  <c r="AM4"/>
  <c r="AB4"/>
  <c r="AA4"/>
  <c r="P4"/>
  <c r="U4" s="1"/>
  <c r="O4"/>
  <c r="AW4" s="1"/>
  <c r="BC3"/>
  <c r="AR3"/>
  <c r="AQ3"/>
  <c r="AM3"/>
  <c r="AB3"/>
  <c r="AA3"/>
  <c r="P3"/>
  <c r="U3" s="1"/>
  <c r="O3"/>
  <c r="AW3" s="1"/>
  <c r="BC31" i="21"/>
  <c r="AR31"/>
  <c r="AQ31"/>
  <c r="AM31"/>
  <c r="AB31"/>
  <c r="AA31"/>
  <c r="P31"/>
  <c r="U31" s="1"/>
  <c r="O31"/>
  <c r="AW31" s="1"/>
  <c r="BC30"/>
  <c r="AR30"/>
  <c r="AQ30"/>
  <c r="AM30"/>
  <c r="AB30"/>
  <c r="AA30"/>
  <c r="P30"/>
  <c r="U30" s="1"/>
  <c r="O30"/>
  <c r="AW30" s="1"/>
  <c r="BC29"/>
  <c r="AR29"/>
  <c r="AQ29"/>
  <c r="AM29"/>
  <c r="AB29"/>
  <c r="AA29"/>
  <c r="P29"/>
  <c r="U29" s="1"/>
  <c r="O29"/>
  <c r="AW29" s="1"/>
  <c r="BC28"/>
  <c r="AR28"/>
  <c r="AQ28"/>
  <c r="AM28"/>
  <c r="AB28"/>
  <c r="AA28"/>
  <c r="P28"/>
  <c r="U28" s="1"/>
  <c r="O28"/>
  <c r="AW28" s="1"/>
  <c r="BC27"/>
  <c r="AR27"/>
  <c r="AQ27"/>
  <c r="AM27"/>
  <c r="AB27"/>
  <c r="AA27"/>
  <c r="P27"/>
  <c r="U27" s="1"/>
  <c r="O27"/>
  <c r="AW27" s="1"/>
  <c r="AR26"/>
  <c r="AQ26"/>
  <c r="AB26"/>
  <c r="AA26"/>
  <c r="P26"/>
  <c r="U26" s="1"/>
  <c r="O26"/>
  <c r="AW26" s="1"/>
  <c r="BC25"/>
  <c r="AR25"/>
  <c r="AQ25"/>
  <c r="AM25"/>
  <c r="AB25"/>
  <c r="AA25"/>
  <c r="P25"/>
  <c r="U25" s="1"/>
  <c r="O25"/>
  <c r="AW25" s="1"/>
  <c r="BC24"/>
  <c r="AR24"/>
  <c r="AQ24"/>
  <c r="AM24"/>
  <c r="AB24"/>
  <c r="AA24"/>
  <c r="P24"/>
  <c r="U24" s="1"/>
  <c r="O24"/>
  <c r="AW24" s="1"/>
  <c r="BC23"/>
  <c r="AR23"/>
  <c r="AQ23"/>
  <c r="AM23"/>
  <c r="AB23"/>
  <c r="AA23"/>
  <c r="P23"/>
  <c r="U23" s="1"/>
  <c r="O23"/>
  <c r="AW23" s="1"/>
  <c r="BC22"/>
  <c r="AR22"/>
  <c r="AQ22"/>
  <c r="AM22"/>
  <c r="AB22"/>
  <c r="AA22"/>
  <c r="P22"/>
  <c r="U22" s="1"/>
  <c r="O22"/>
  <c r="AW22" s="1"/>
  <c r="BC21"/>
  <c r="AR21"/>
  <c r="AQ21"/>
  <c r="AM21"/>
  <c r="AB21"/>
  <c r="AA21"/>
  <c r="P21"/>
  <c r="U21" s="1"/>
  <c r="O21"/>
  <c r="AW21" s="1"/>
  <c r="BC20"/>
  <c r="AR20"/>
  <c r="AQ20"/>
  <c r="AM20"/>
  <c r="AB20"/>
  <c r="AA20"/>
  <c r="P20"/>
  <c r="U20" s="1"/>
  <c r="O20"/>
  <c r="AW20" s="1"/>
  <c r="BC19"/>
  <c r="AR19"/>
  <c r="AQ19"/>
  <c r="AM19"/>
  <c r="AB19"/>
  <c r="AA19"/>
  <c r="P19"/>
  <c r="U19" s="1"/>
  <c r="O19"/>
  <c r="AW19" s="1"/>
  <c r="BC18"/>
  <c r="AR18"/>
  <c r="AQ18"/>
  <c r="AM18"/>
  <c r="AB18"/>
  <c r="AA18"/>
  <c r="P18"/>
  <c r="U18" s="1"/>
  <c r="O18"/>
  <c r="AW18" s="1"/>
  <c r="BC17"/>
  <c r="AR17"/>
  <c r="AQ17"/>
  <c r="AM17"/>
  <c r="AB17"/>
  <c r="AA17"/>
  <c r="P17"/>
  <c r="U17" s="1"/>
  <c r="O17"/>
  <c r="AW17" s="1"/>
  <c r="BC16"/>
  <c r="AR16"/>
  <c r="AQ16"/>
  <c r="AM16"/>
  <c r="AB16"/>
  <c r="AA16"/>
  <c r="P16"/>
  <c r="U16" s="1"/>
  <c r="O16"/>
  <c r="AW16" s="1"/>
  <c r="BC15"/>
  <c r="AR15"/>
  <c r="AQ15"/>
  <c r="AM15"/>
  <c r="AB15"/>
  <c r="AA15"/>
  <c r="P15"/>
  <c r="U15" s="1"/>
  <c r="O15"/>
  <c r="AW15" s="1"/>
  <c r="BC14"/>
  <c r="AR14"/>
  <c r="AQ14"/>
  <c r="AM14"/>
  <c r="AB14"/>
  <c r="AA14"/>
  <c r="P14"/>
  <c r="U14" s="1"/>
  <c r="O14"/>
  <c r="AW14" s="1"/>
  <c r="BC13"/>
  <c r="AR13"/>
  <c r="AQ13"/>
  <c r="AM13"/>
  <c r="AB13"/>
  <c r="AA13"/>
  <c r="P13"/>
  <c r="U13" s="1"/>
  <c r="O13"/>
  <c r="AW13" s="1"/>
  <c r="BC12"/>
  <c r="AR12"/>
  <c r="AQ12"/>
  <c r="AM12"/>
  <c r="AB12"/>
  <c r="AA12"/>
  <c r="P12"/>
  <c r="U12" s="1"/>
  <c r="O12"/>
  <c r="AW12" s="1"/>
  <c r="AR11"/>
  <c r="AQ11"/>
  <c r="AB11"/>
  <c r="AA11"/>
  <c r="P11"/>
  <c r="U11" s="1"/>
  <c r="O11"/>
  <c r="AW11" s="1"/>
  <c r="BC10"/>
  <c r="AR10"/>
  <c r="AQ10"/>
  <c r="AM10"/>
  <c r="AB10"/>
  <c r="AA10"/>
  <c r="P10"/>
  <c r="U10" s="1"/>
  <c r="O10"/>
  <c r="AW10" s="1"/>
  <c r="BC9"/>
  <c r="AR9"/>
  <c r="AQ9"/>
  <c r="AM9"/>
  <c r="AB9"/>
  <c r="AA9"/>
  <c r="P9"/>
  <c r="U9" s="1"/>
  <c r="O9"/>
  <c r="AW9" s="1"/>
  <c r="BC8"/>
  <c r="AR8"/>
  <c r="AQ8"/>
  <c r="AM8"/>
  <c r="AB8"/>
  <c r="AA8"/>
  <c r="P8"/>
  <c r="U8" s="1"/>
  <c r="O8"/>
  <c r="AW8" s="1"/>
  <c r="BC7"/>
  <c r="AR7"/>
  <c r="AQ7"/>
  <c r="AM7"/>
  <c r="AB7"/>
  <c r="AA7"/>
  <c r="P7"/>
  <c r="U7" s="1"/>
  <c r="O7"/>
  <c r="AW7" s="1"/>
  <c r="BC6"/>
  <c r="AR6"/>
  <c r="AQ6"/>
  <c r="AM6"/>
  <c r="AB6"/>
  <c r="AA6"/>
  <c r="P6"/>
  <c r="U6" s="1"/>
  <c r="O6"/>
  <c r="AW6" s="1"/>
  <c r="BC5"/>
  <c r="AR5"/>
  <c r="AQ5"/>
  <c r="AM5"/>
  <c r="AB5"/>
  <c r="AA5"/>
  <c r="P5"/>
  <c r="U5" s="1"/>
  <c r="O5"/>
  <c r="AW5" s="1"/>
  <c r="BC4"/>
  <c r="AR4"/>
  <c r="AQ4"/>
  <c r="AM4"/>
  <c r="AB4"/>
  <c r="AA4"/>
  <c r="P4"/>
  <c r="U4" s="1"/>
  <c r="O4"/>
  <c r="AW4" s="1"/>
  <c r="BC3"/>
  <c r="AR3"/>
  <c r="AQ3"/>
  <c r="AM3"/>
  <c r="AB3"/>
  <c r="AA3"/>
  <c r="P3"/>
  <c r="U3" s="1"/>
  <c r="O3"/>
  <c r="AW3" s="1"/>
  <c r="AR10" i="20"/>
  <c r="AQ10"/>
  <c r="AB10"/>
  <c r="AA10"/>
  <c r="AE10" s="1"/>
  <c r="U10"/>
  <c r="P10"/>
  <c r="AU10" s="1"/>
  <c r="O10"/>
  <c r="AW10" s="1"/>
  <c r="BC9"/>
  <c r="AR9"/>
  <c r="AQ9"/>
  <c r="AM9"/>
  <c r="AB9"/>
  <c r="AA9"/>
  <c r="AE9" s="1"/>
  <c r="P9"/>
  <c r="AX9" s="1"/>
  <c r="O9"/>
  <c r="AW9" s="1"/>
  <c r="BC8"/>
  <c r="AR8"/>
  <c r="AQ8"/>
  <c r="AM8"/>
  <c r="AB8"/>
  <c r="AA8"/>
  <c r="AE8" s="1"/>
  <c r="P8"/>
  <c r="AX8" s="1"/>
  <c r="O8"/>
  <c r="AW8" s="1"/>
  <c r="AR7"/>
  <c r="AQ7"/>
  <c r="AB7"/>
  <c r="AA7"/>
  <c r="AE7" s="1"/>
  <c r="P7"/>
  <c r="AX7" s="1"/>
  <c r="O7"/>
  <c r="AW7" s="1"/>
  <c r="BC6"/>
  <c r="AR6"/>
  <c r="AQ6"/>
  <c r="AM6"/>
  <c r="AB6"/>
  <c r="AA6"/>
  <c r="AF6" s="1"/>
  <c r="P6"/>
  <c r="AX6" s="1"/>
  <c r="O6"/>
  <c r="AW6" s="1"/>
  <c r="BC5"/>
  <c r="AR5"/>
  <c r="AQ5"/>
  <c r="AM5"/>
  <c r="AB5"/>
  <c r="AA5"/>
  <c r="AE5" s="1"/>
  <c r="P5"/>
  <c r="AX5" s="1"/>
  <c r="O5"/>
  <c r="AW5" s="1"/>
  <c r="BC4"/>
  <c r="AR4"/>
  <c r="AQ4"/>
  <c r="AM4"/>
  <c r="AB4"/>
  <c r="AA4"/>
  <c r="AE4" s="1"/>
  <c r="P4"/>
  <c r="AX4" s="1"/>
  <c r="O4"/>
  <c r="AW4" s="1"/>
  <c r="BC3"/>
  <c r="AR3"/>
  <c r="AQ3"/>
  <c r="AM3"/>
  <c r="AB3"/>
  <c r="AA3"/>
  <c r="AE3" s="1"/>
  <c r="P3"/>
  <c r="AX3" s="1"/>
  <c r="O3"/>
  <c r="AW3" s="1"/>
  <c r="AV3" i="26" l="1"/>
  <c r="AV4"/>
  <c r="AV5"/>
  <c r="AV6"/>
  <c r="AV7"/>
  <c r="AV8"/>
  <c r="AV9"/>
  <c r="AV10"/>
  <c r="AV11"/>
  <c r="AV12"/>
  <c r="AV13"/>
  <c r="AV14"/>
  <c r="U3"/>
  <c r="AF3"/>
  <c r="AU3"/>
  <c r="U4"/>
  <c r="AF4"/>
  <c r="AU4"/>
  <c r="U5"/>
  <c r="AF5"/>
  <c r="AU5"/>
  <c r="U6"/>
  <c r="AF6"/>
  <c r="AU6"/>
  <c r="U7"/>
  <c r="AF7"/>
  <c r="AU7"/>
  <c r="U8"/>
  <c r="AF8"/>
  <c r="AU8"/>
  <c r="U9"/>
  <c r="AF9"/>
  <c r="AU9"/>
  <c r="U10"/>
  <c r="AF10"/>
  <c r="AU10"/>
  <c r="U11"/>
  <c r="AF11"/>
  <c r="AU11"/>
  <c r="U12"/>
  <c r="AF12"/>
  <c r="AU12"/>
  <c r="U13"/>
  <c r="AF13"/>
  <c r="AU13"/>
  <c r="U14"/>
  <c r="AF14"/>
  <c r="AU14"/>
  <c r="AT3"/>
  <c r="AT4"/>
  <c r="AY4" s="1"/>
  <c r="AT5"/>
  <c r="AY5" s="1"/>
  <c r="AT6"/>
  <c r="AY6" s="1"/>
  <c r="AT7"/>
  <c r="AT8"/>
  <c r="AY8" s="1"/>
  <c r="AT9"/>
  <c r="AY9" s="1"/>
  <c r="AT10"/>
  <c r="AY10" s="1"/>
  <c r="AT11"/>
  <c r="AT12"/>
  <c r="AY12" s="1"/>
  <c r="AT13"/>
  <c r="AY13" s="1"/>
  <c r="AT14"/>
  <c r="AY14" s="1"/>
  <c r="AD3"/>
  <c r="AH3"/>
  <c r="AD4"/>
  <c r="AH4"/>
  <c r="AD5"/>
  <c r="AH5"/>
  <c r="AD6"/>
  <c r="AI6" s="1"/>
  <c r="AH6"/>
  <c r="AD7"/>
  <c r="AH7"/>
  <c r="AD8"/>
  <c r="AI8" s="1"/>
  <c r="AH8"/>
  <c r="AD9"/>
  <c r="AH9"/>
  <c r="AD10"/>
  <c r="AI10" s="1"/>
  <c r="AH10"/>
  <c r="AD11"/>
  <c r="AH11"/>
  <c r="AD12"/>
  <c r="AI12" s="1"/>
  <c r="AH12"/>
  <c r="AD13"/>
  <c r="AH13"/>
  <c r="AD14"/>
  <c r="AI14" s="1"/>
  <c r="AH14"/>
  <c r="V3" i="25"/>
  <c r="W3" s="1"/>
  <c r="X3" s="1"/>
  <c r="V4"/>
  <c r="W4" s="1"/>
  <c r="X4" s="1"/>
  <c r="W5"/>
  <c r="X5" s="1"/>
  <c r="V5"/>
  <c r="W6"/>
  <c r="X6" s="1"/>
  <c r="V6"/>
  <c r="V7"/>
  <c r="W7" s="1"/>
  <c r="X7" s="1"/>
  <c r="V8"/>
  <c r="W8" s="1"/>
  <c r="X8" s="1"/>
  <c r="W12"/>
  <c r="X12"/>
  <c r="V12"/>
  <c r="AG3"/>
  <c r="AV3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F3"/>
  <c r="AU3"/>
  <c r="AF4"/>
  <c r="AU4"/>
  <c r="AF5"/>
  <c r="AU5"/>
  <c r="AF6"/>
  <c r="AU6"/>
  <c r="AF7"/>
  <c r="AU7"/>
  <c r="AF8"/>
  <c r="AU8"/>
  <c r="U9"/>
  <c r="AF9"/>
  <c r="AU9"/>
  <c r="U10"/>
  <c r="AF10"/>
  <c r="AU10"/>
  <c r="U11"/>
  <c r="AF11"/>
  <c r="AU11"/>
  <c r="AF12"/>
  <c r="AU12"/>
  <c r="AE3"/>
  <c r="AT3"/>
  <c r="AY3" s="1"/>
  <c r="AX3"/>
  <c r="AE4"/>
  <c r="AT4"/>
  <c r="AX4"/>
  <c r="AE5"/>
  <c r="AT5"/>
  <c r="AY5" s="1"/>
  <c r="AX5"/>
  <c r="AE6"/>
  <c r="AT6"/>
  <c r="AY6" s="1"/>
  <c r="AX6"/>
  <c r="AE7"/>
  <c r="AT7"/>
  <c r="AY7" s="1"/>
  <c r="AX7"/>
  <c r="AE8"/>
  <c r="AT8"/>
  <c r="AX8"/>
  <c r="AT9"/>
  <c r="AY9" s="1"/>
  <c r="AX9"/>
  <c r="AT10"/>
  <c r="AX10"/>
  <c r="AT11"/>
  <c r="AY11" s="1"/>
  <c r="AX11"/>
  <c r="AE12"/>
  <c r="AT12"/>
  <c r="AY12" s="1"/>
  <c r="AX12"/>
  <c r="AD3"/>
  <c r="AI3" s="1"/>
  <c r="AH3"/>
  <c r="AD4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I12" s="1"/>
  <c r="AH12"/>
  <c r="V3" i="24"/>
  <c r="W3" s="1"/>
  <c r="X3" s="1"/>
  <c r="V4"/>
  <c r="W4" s="1"/>
  <c r="X4" s="1"/>
  <c r="W5"/>
  <c r="X5" s="1"/>
  <c r="V5"/>
  <c r="W6"/>
  <c r="X6" s="1"/>
  <c r="V6"/>
  <c r="V7"/>
  <c r="W7" s="1"/>
  <c r="X7" s="1"/>
  <c r="V8"/>
  <c r="W8" s="1"/>
  <c r="X8" s="1"/>
  <c r="W9"/>
  <c r="X9" s="1"/>
  <c r="V9"/>
  <c r="W10"/>
  <c r="X10" s="1"/>
  <c r="V10"/>
  <c r="V11"/>
  <c r="W11" s="1"/>
  <c r="X11" s="1"/>
  <c r="V12"/>
  <c r="W12" s="1"/>
  <c r="X12" s="1"/>
  <c r="W13"/>
  <c r="X13" s="1"/>
  <c r="V13"/>
  <c r="AG3"/>
  <c r="AV3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F3"/>
  <c r="AU3"/>
  <c r="AF4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E3"/>
  <c r="AT3"/>
  <c r="AY3" s="1"/>
  <c r="AX3"/>
  <c r="AE4"/>
  <c r="AT4"/>
  <c r="AX4"/>
  <c r="AE5"/>
  <c r="AT5"/>
  <c r="AX5"/>
  <c r="AE6"/>
  <c r="AT6"/>
  <c r="AX6"/>
  <c r="AE7"/>
  <c r="AT7"/>
  <c r="AY7" s="1"/>
  <c r="AX7"/>
  <c r="AE8"/>
  <c r="AT8"/>
  <c r="AY8" s="1"/>
  <c r="AX8"/>
  <c r="AE9"/>
  <c r="AT9"/>
  <c r="AX9"/>
  <c r="AE10"/>
  <c r="AT10"/>
  <c r="AY10" s="1"/>
  <c r="AX10"/>
  <c r="AE11"/>
  <c r="AT11"/>
  <c r="AY11" s="1"/>
  <c r="AX11"/>
  <c r="AE12"/>
  <c r="AT12"/>
  <c r="AY12" s="1"/>
  <c r="AX12"/>
  <c r="AE13"/>
  <c r="AT13"/>
  <c r="AX13"/>
  <c r="AD3"/>
  <c r="AI3" s="1"/>
  <c r="AH3"/>
  <c r="AD4"/>
  <c r="AH4"/>
  <c r="AD5"/>
  <c r="AI5" s="1"/>
  <c r="AH5"/>
  <c r="AD6"/>
  <c r="AH6"/>
  <c r="AD7"/>
  <c r="AI7" s="1"/>
  <c r="AH7"/>
  <c r="AD8"/>
  <c r="AH8"/>
  <c r="AD9"/>
  <c r="AI9" s="1"/>
  <c r="AH9"/>
  <c r="AD10"/>
  <c r="AH10"/>
  <c r="AD11"/>
  <c r="AI11" s="1"/>
  <c r="AH11"/>
  <c r="AD12"/>
  <c r="AH12"/>
  <c r="AD13"/>
  <c r="AI13" s="1"/>
  <c r="AH13"/>
  <c r="V7" i="23"/>
  <c r="W7" s="1"/>
  <c r="X7" s="1"/>
  <c r="V8"/>
  <c r="W8" s="1"/>
  <c r="X8" s="1"/>
  <c r="W9"/>
  <c r="X9" s="1"/>
  <c r="V9"/>
  <c r="W3"/>
  <c r="X3" s="1"/>
  <c r="V3"/>
  <c r="V4"/>
  <c r="W4" s="1"/>
  <c r="X4" s="1"/>
  <c r="V5"/>
  <c r="W5" s="1"/>
  <c r="X5" s="1"/>
  <c r="W6"/>
  <c r="X6" s="1"/>
  <c r="V6"/>
  <c r="W10"/>
  <c r="X10" s="1"/>
  <c r="V10"/>
  <c r="V11"/>
  <c r="W11" s="1"/>
  <c r="X11" s="1"/>
  <c r="V12"/>
  <c r="W12" s="1"/>
  <c r="X12" s="1"/>
  <c r="W13"/>
  <c r="X13" s="1"/>
  <c r="V13"/>
  <c r="W14"/>
  <c r="X14" s="1"/>
  <c r="V14"/>
  <c r="V15"/>
  <c r="W15" s="1"/>
  <c r="X15" s="1"/>
  <c r="V16"/>
  <c r="W16" s="1"/>
  <c r="X16" s="1"/>
  <c r="W17"/>
  <c r="X17" s="1"/>
  <c r="V17"/>
  <c r="W18"/>
  <c r="X18"/>
  <c r="V18"/>
  <c r="V19"/>
  <c r="W19" s="1"/>
  <c r="X19" s="1"/>
  <c r="V20"/>
  <c r="W20" s="1"/>
  <c r="X20" s="1"/>
  <c r="W21"/>
  <c r="X21" s="1"/>
  <c r="V21"/>
  <c r="W22"/>
  <c r="X22" s="1"/>
  <c r="V22"/>
  <c r="V23"/>
  <c r="W23" s="1"/>
  <c r="X23" s="1"/>
  <c r="V24"/>
  <c r="W24" s="1"/>
  <c r="X24" s="1"/>
  <c r="W25"/>
  <c r="X25"/>
  <c r="V25"/>
  <c r="W26"/>
  <c r="X26" s="1"/>
  <c r="V26"/>
  <c r="V27"/>
  <c r="W27" s="1"/>
  <c r="X27" s="1"/>
  <c r="V28"/>
  <c r="W28" s="1"/>
  <c r="X28" s="1"/>
  <c r="W29"/>
  <c r="X29"/>
  <c r="V29"/>
  <c r="W30"/>
  <c r="X30" s="1"/>
  <c r="V30"/>
  <c r="V31"/>
  <c r="W31" s="1"/>
  <c r="X31" s="1"/>
  <c r="V32"/>
  <c r="W32" s="1"/>
  <c r="X32" s="1"/>
  <c r="W33"/>
  <c r="X33" s="1"/>
  <c r="V33"/>
  <c r="W34"/>
  <c r="X34" s="1"/>
  <c r="V34"/>
  <c r="V35"/>
  <c r="W35" s="1"/>
  <c r="X35" s="1"/>
  <c r="V36"/>
  <c r="W36" s="1"/>
  <c r="X36" s="1"/>
  <c r="W37"/>
  <c r="X37" s="1"/>
  <c r="V37"/>
  <c r="W38"/>
  <c r="X38"/>
  <c r="V38"/>
  <c r="W39"/>
  <c r="X39"/>
  <c r="V39"/>
  <c r="AG3"/>
  <c r="AV3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G32"/>
  <c r="AV32"/>
  <c r="AG33"/>
  <c r="AV33"/>
  <c r="AG34"/>
  <c r="AV34"/>
  <c r="AG35"/>
  <c r="AV35"/>
  <c r="AG36"/>
  <c r="AV36"/>
  <c r="AG37"/>
  <c r="AV37"/>
  <c r="AG38"/>
  <c r="AV38"/>
  <c r="AG39"/>
  <c r="AV39"/>
  <c r="AF3"/>
  <c r="AU3"/>
  <c r="AF4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F14"/>
  <c r="AU14"/>
  <c r="AF15"/>
  <c r="AU15"/>
  <c r="AF16"/>
  <c r="AU16"/>
  <c r="AF17"/>
  <c r="AU17"/>
  <c r="AF18"/>
  <c r="AU18"/>
  <c r="AF19"/>
  <c r="AU19"/>
  <c r="AF20"/>
  <c r="AU20"/>
  <c r="AF21"/>
  <c r="AU21"/>
  <c r="AF22"/>
  <c r="AU22"/>
  <c r="AF23"/>
  <c r="AU23"/>
  <c r="AF24"/>
  <c r="AU24"/>
  <c r="AF25"/>
  <c r="AU25"/>
  <c r="AF26"/>
  <c r="AU26"/>
  <c r="AF27"/>
  <c r="AU27"/>
  <c r="AF28"/>
  <c r="AU28"/>
  <c r="AF29"/>
  <c r="AU29"/>
  <c r="AF30"/>
  <c r="AU30"/>
  <c r="AF31"/>
  <c r="AU31"/>
  <c r="AF32"/>
  <c r="AU32"/>
  <c r="AF33"/>
  <c r="AU33"/>
  <c r="AF34"/>
  <c r="AU34"/>
  <c r="AF35"/>
  <c r="AU35"/>
  <c r="AF36"/>
  <c r="AU36"/>
  <c r="AF37"/>
  <c r="AU37"/>
  <c r="AF38"/>
  <c r="AU38"/>
  <c r="AF39"/>
  <c r="AU39"/>
  <c r="AE3"/>
  <c r="AT3"/>
  <c r="AX3"/>
  <c r="AE4"/>
  <c r="AT4"/>
  <c r="AY4" s="1"/>
  <c r="AX4"/>
  <c r="AE5"/>
  <c r="AT5"/>
  <c r="AX5"/>
  <c r="BA5" s="1"/>
  <c r="BB5" s="1"/>
  <c r="BD5" s="1"/>
  <c r="AE6"/>
  <c r="AT6"/>
  <c r="AY6" s="1"/>
  <c r="AX6"/>
  <c r="BA6" s="1"/>
  <c r="BB6" s="1"/>
  <c r="AE7"/>
  <c r="AT7"/>
  <c r="AX7"/>
  <c r="BA7" s="1"/>
  <c r="BB7" s="1"/>
  <c r="BD7" s="1"/>
  <c r="AE8"/>
  <c r="AT8"/>
  <c r="AY8" s="1"/>
  <c r="AX8"/>
  <c r="BA8" s="1"/>
  <c r="BB8" s="1"/>
  <c r="BD8" s="1"/>
  <c r="AE9"/>
  <c r="AT9"/>
  <c r="AX9"/>
  <c r="BA9" s="1"/>
  <c r="BB9" s="1"/>
  <c r="AE10"/>
  <c r="AT10"/>
  <c r="AY10" s="1"/>
  <c r="AX10"/>
  <c r="BA10" s="1"/>
  <c r="BB10" s="1"/>
  <c r="BD10" s="1"/>
  <c r="AE11"/>
  <c r="AT11"/>
  <c r="AX11"/>
  <c r="BA11" s="1"/>
  <c r="BB11" s="1"/>
  <c r="BD11" s="1"/>
  <c r="AE12"/>
  <c r="AT12"/>
  <c r="AY12" s="1"/>
  <c r="AX12"/>
  <c r="AE13"/>
  <c r="AT13"/>
  <c r="AX13"/>
  <c r="AE14"/>
  <c r="AT14"/>
  <c r="AY14" s="1"/>
  <c r="AX14"/>
  <c r="AE15"/>
  <c r="AT15"/>
  <c r="AX15"/>
  <c r="AE16"/>
  <c r="AT16"/>
  <c r="AY16" s="1"/>
  <c r="AX16"/>
  <c r="AE17"/>
  <c r="AT17"/>
  <c r="AX17"/>
  <c r="AE18"/>
  <c r="AT18"/>
  <c r="AY18" s="1"/>
  <c r="AX18"/>
  <c r="AE19"/>
  <c r="AT19"/>
  <c r="AX19"/>
  <c r="AE20"/>
  <c r="AT20"/>
  <c r="AY20" s="1"/>
  <c r="AX20"/>
  <c r="AE21"/>
  <c r="AT21"/>
  <c r="AX21"/>
  <c r="AE22"/>
  <c r="AT22"/>
  <c r="AY22" s="1"/>
  <c r="AX22"/>
  <c r="AE23"/>
  <c r="AT23"/>
  <c r="AX23"/>
  <c r="AE24"/>
  <c r="AT24"/>
  <c r="AY24" s="1"/>
  <c r="AX24"/>
  <c r="AE25"/>
  <c r="AT25"/>
  <c r="AX25"/>
  <c r="AE26"/>
  <c r="AT26"/>
  <c r="AY26" s="1"/>
  <c r="AX26"/>
  <c r="AE27"/>
  <c r="AT27"/>
  <c r="AX27"/>
  <c r="AE28"/>
  <c r="AT28"/>
  <c r="AY28" s="1"/>
  <c r="AX28"/>
  <c r="AE29"/>
  <c r="AT29"/>
  <c r="AX29"/>
  <c r="AE30"/>
  <c r="AT30"/>
  <c r="AY30" s="1"/>
  <c r="AX30"/>
  <c r="AE31"/>
  <c r="AT31"/>
  <c r="AX31"/>
  <c r="AE32"/>
  <c r="AT32"/>
  <c r="AY32" s="1"/>
  <c r="AX32"/>
  <c r="AE33"/>
  <c r="AT33"/>
  <c r="AX33"/>
  <c r="AE34"/>
  <c r="AT34"/>
  <c r="AY34" s="1"/>
  <c r="AX34"/>
  <c r="AE35"/>
  <c r="AT35"/>
  <c r="AX35"/>
  <c r="AE36"/>
  <c r="AT36"/>
  <c r="AY36" s="1"/>
  <c r="AX36"/>
  <c r="AE37"/>
  <c r="AT37"/>
  <c r="AX37"/>
  <c r="AE38"/>
  <c r="AT38"/>
  <c r="AY38" s="1"/>
  <c r="AX38"/>
  <c r="AE39"/>
  <c r="AT39"/>
  <c r="AX39"/>
  <c r="AD3"/>
  <c r="AH3"/>
  <c r="AD4"/>
  <c r="AH4"/>
  <c r="AD5"/>
  <c r="AH5"/>
  <c r="AD6"/>
  <c r="AH6"/>
  <c r="AD7"/>
  <c r="AH7"/>
  <c r="AD8"/>
  <c r="AH8"/>
  <c r="AD9"/>
  <c r="AH9"/>
  <c r="AD10"/>
  <c r="AH10"/>
  <c r="AD11"/>
  <c r="AH11"/>
  <c r="AD12"/>
  <c r="AH12"/>
  <c r="AD13"/>
  <c r="AH13"/>
  <c r="AD14"/>
  <c r="AH14"/>
  <c r="AD15"/>
  <c r="AH15"/>
  <c r="AD16"/>
  <c r="AH16"/>
  <c r="AD17"/>
  <c r="AH17"/>
  <c r="AD18"/>
  <c r="AH18"/>
  <c r="AD19"/>
  <c r="AH19"/>
  <c r="AD20"/>
  <c r="AH20"/>
  <c r="AD21"/>
  <c r="AH21"/>
  <c r="AD22"/>
  <c r="AH22"/>
  <c r="AD23"/>
  <c r="AH23"/>
  <c r="AD24"/>
  <c r="AH24"/>
  <c r="AD25"/>
  <c r="AH25"/>
  <c r="AD26"/>
  <c r="AH26"/>
  <c r="AD27"/>
  <c r="AH27"/>
  <c r="AD28"/>
  <c r="AH28"/>
  <c r="AD29"/>
  <c r="AH29"/>
  <c r="AD30"/>
  <c r="AH30"/>
  <c r="AD31"/>
  <c r="AH31"/>
  <c r="AD32"/>
  <c r="AH32"/>
  <c r="AD33"/>
  <c r="AH33"/>
  <c r="AD34"/>
  <c r="AH34"/>
  <c r="AD35"/>
  <c r="AH35"/>
  <c r="AD36"/>
  <c r="AH36"/>
  <c r="AD37"/>
  <c r="AH37"/>
  <c r="AD38"/>
  <c r="AH38"/>
  <c r="AD39"/>
  <c r="AH39"/>
  <c r="V3" i="22"/>
  <c r="W3" s="1"/>
  <c r="X3" s="1"/>
  <c r="V4"/>
  <c r="W4" s="1"/>
  <c r="X4" s="1"/>
  <c r="W5"/>
  <c r="X5" s="1"/>
  <c r="V5"/>
  <c r="W6"/>
  <c r="X6"/>
  <c r="V6"/>
  <c r="W7"/>
  <c r="X7"/>
  <c r="V7"/>
  <c r="W8"/>
  <c r="X8"/>
  <c r="V8"/>
  <c r="W9"/>
  <c r="X9"/>
  <c r="V9"/>
  <c r="W10"/>
  <c r="X10" s="1"/>
  <c r="V10"/>
  <c r="V11"/>
  <c r="W11" s="1"/>
  <c r="X11" s="1"/>
  <c r="V12"/>
  <c r="W12" s="1"/>
  <c r="X12" s="1"/>
  <c r="W13"/>
  <c r="X13"/>
  <c r="V13"/>
  <c r="AG3"/>
  <c r="AV3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F3"/>
  <c r="AU3"/>
  <c r="AF4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E3"/>
  <c r="AT3"/>
  <c r="AY3" s="1"/>
  <c r="AX3"/>
  <c r="AE4"/>
  <c r="AT4"/>
  <c r="AX4"/>
  <c r="AE5"/>
  <c r="AT5"/>
  <c r="AX5"/>
  <c r="AE6"/>
  <c r="AT6"/>
  <c r="AY6" s="1"/>
  <c r="AX6"/>
  <c r="AE7"/>
  <c r="AT7"/>
  <c r="AY7" s="1"/>
  <c r="AX7"/>
  <c r="AE8"/>
  <c r="AT8"/>
  <c r="AX8"/>
  <c r="AE9"/>
  <c r="AT9"/>
  <c r="AX9"/>
  <c r="AE10"/>
  <c r="AT10"/>
  <c r="AY10" s="1"/>
  <c r="AX10"/>
  <c r="AE11"/>
  <c r="AT11"/>
  <c r="AY11" s="1"/>
  <c r="AX11"/>
  <c r="AE12"/>
  <c r="AT12"/>
  <c r="AX12"/>
  <c r="AE13"/>
  <c r="AT13"/>
  <c r="AX13"/>
  <c r="AD3"/>
  <c r="AI3" s="1"/>
  <c r="AH3"/>
  <c r="AD4"/>
  <c r="AH4"/>
  <c r="AD5"/>
  <c r="AI5" s="1"/>
  <c r="AH5"/>
  <c r="AD6"/>
  <c r="AH6"/>
  <c r="AD7"/>
  <c r="AI7" s="1"/>
  <c r="AH7"/>
  <c r="AD8"/>
  <c r="AH8"/>
  <c r="AD9"/>
  <c r="AI9" s="1"/>
  <c r="AH9"/>
  <c r="AD10"/>
  <c r="AH10"/>
  <c r="AD11"/>
  <c r="AI11" s="1"/>
  <c r="AH11"/>
  <c r="AD12"/>
  <c r="AH12"/>
  <c r="AD13"/>
  <c r="AI13" s="1"/>
  <c r="AH13"/>
  <c r="W12" i="21"/>
  <c r="X12"/>
  <c r="V12"/>
  <c r="W13"/>
  <c r="X13"/>
  <c r="V13"/>
  <c r="W14"/>
  <c r="X14"/>
  <c r="V14"/>
  <c r="W15"/>
  <c r="X15"/>
  <c r="V15"/>
  <c r="W16"/>
  <c r="X16"/>
  <c r="V16"/>
  <c r="W17"/>
  <c r="X17"/>
  <c r="V17"/>
  <c r="W18"/>
  <c r="X18"/>
  <c r="V18"/>
  <c r="W19"/>
  <c r="X19"/>
  <c r="V19"/>
  <c r="W20"/>
  <c r="X20"/>
  <c r="V20"/>
  <c r="W21"/>
  <c r="X21"/>
  <c r="V21"/>
  <c r="W22"/>
  <c r="X22"/>
  <c r="V22"/>
  <c r="W23"/>
  <c r="X23"/>
  <c r="V23"/>
  <c r="V24"/>
  <c r="W24" s="1"/>
  <c r="X24" s="1"/>
  <c r="V25"/>
  <c r="W25" s="1"/>
  <c r="X25" s="1"/>
  <c r="W26"/>
  <c r="X26" s="1"/>
  <c r="V26"/>
  <c r="W3"/>
  <c r="X3"/>
  <c r="V3"/>
  <c r="V4"/>
  <c r="W4" s="1"/>
  <c r="X4" s="1"/>
  <c r="V5"/>
  <c r="W5" s="1"/>
  <c r="X5" s="1"/>
  <c r="W6"/>
  <c r="X6" s="1"/>
  <c r="V6"/>
  <c r="W7"/>
  <c r="X7"/>
  <c r="V7"/>
  <c r="V8"/>
  <c r="W8" s="1"/>
  <c r="X8" s="1"/>
  <c r="V9"/>
  <c r="W9" s="1"/>
  <c r="X9" s="1"/>
  <c r="W10"/>
  <c r="X10" s="1"/>
  <c r="V10"/>
  <c r="W11"/>
  <c r="X11"/>
  <c r="V11"/>
  <c r="W27"/>
  <c r="X27"/>
  <c r="V27"/>
  <c r="W28"/>
  <c r="X28"/>
  <c r="V28"/>
  <c r="W29"/>
  <c r="X29"/>
  <c r="V29"/>
  <c r="W30"/>
  <c r="X30"/>
  <c r="V30"/>
  <c r="W31"/>
  <c r="X31"/>
  <c r="V31"/>
  <c r="AG3"/>
  <c r="AV3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F3"/>
  <c r="AU3"/>
  <c r="AF4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F14"/>
  <c r="AU14"/>
  <c r="AF15"/>
  <c r="AU15"/>
  <c r="AF16"/>
  <c r="AU16"/>
  <c r="AF17"/>
  <c r="AU17"/>
  <c r="AF18"/>
  <c r="AU18"/>
  <c r="AF19"/>
  <c r="AU19"/>
  <c r="AF20"/>
  <c r="AU20"/>
  <c r="AF21"/>
  <c r="AU21"/>
  <c r="AF22"/>
  <c r="AU22"/>
  <c r="AF23"/>
  <c r="AU23"/>
  <c r="AF24"/>
  <c r="AU24"/>
  <c r="AF25"/>
  <c r="AU25"/>
  <c r="AF26"/>
  <c r="AU26"/>
  <c r="AF27"/>
  <c r="AU27"/>
  <c r="AF28"/>
  <c r="AU28"/>
  <c r="AF29"/>
  <c r="AU29"/>
  <c r="AF30"/>
  <c r="AU30"/>
  <c r="AF31"/>
  <c r="AU31"/>
  <c r="AE3"/>
  <c r="AT3"/>
  <c r="AX3"/>
  <c r="AE4"/>
  <c r="AT4"/>
  <c r="AX4"/>
  <c r="AE5"/>
  <c r="AT5"/>
  <c r="AY5" s="1"/>
  <c r="AX5"/>
  <c r="AE6"/>
  <c r="AT6"/>
  <c r="AX6"/>
  <c r="AE7"/>
  <c r="AT7"/>
  <c r="AX7"/>
  <c r="AE8"/>
  <c r="AT8"/>
  <c r="AX8"/>
  <c r="AE9"/>
  <c r="AT9"/>
  <c r="AY9" s="1"/>
  <c r="AX9"/>
  <c r="AE10"/>
  <c r="AT10"/>
  <c r="AY10" s="1"/>
  <c r="AX10"/>
  <c r="AE11"/>
  <c r="AT11"/>
  <c r="AX11"/>
  <c r="AE12"/>
  <c r="AT12"/>
  <c r="AX12"/>
  <c r="AE13"/>
  <c r="AT13"/>
  <c r="AY13" s="1"/>
  <c r="AX13"/>
  <c r="AE14"/>
  <c r="AT14"/>
  <c r="AY14" s="1"/>
  <c r="AX14"/>
  <c r="AE15"/>
  <c r="AT15"/>
  <c r="AX15"/>
  <c r="AE16"/>
  <c r="AT16"/>
  <c r="AX16"/>
  <c r="AE17"/>
  <c r="AT17"/>
  <c r="AY17" s="1"/>
  <c r="AX17"/>
  <c r="AE18"/>
  <c r="AT18"/>
  <c r="AY18" s="1"/>
  <c r="AX18"/>
  <c r="AE19"/>
  <c r="AT19"/>
  <c r="AX19"/>
  <c r="AE20"/>
  <c r="AT20"/>
  <c r="AX20"/>
  <c r="AE21"/>
  <c r="AT21"/>
  <c r="AY21" s="1"/>
  <c r="AX21"/>
  <c r="AE22"/>
  <c r="AT22"/>
  <c r="AX22"/>
  <c r="AE23"/>
  <c r="AT23"/>
  <c r="AX23"/>
  <c r="AE24"/>
  <c r="AT24"/>
  <c r="AX24"/>
  <c r="AE25"/>
  <c r="AT25"/>
  <c r="AY25" s="1"/>
  <c r="AX25"/>
  <c r="AE26"/>
  <c r="AT26"/>
  <c r="AX26"/>
  <c r="AE27"/>
  <c r="AT27"/>
  <c r="AX27"/>
  <c r="AE28"/>
  <c r="AT28"/>
  <c r="AX28"/>
  <c r="AE29"/>
  <c r="AT29"/>
  <c r="AY29" s="1"/>
  <c r="AX29"/>
  <c r="AE30"/>
  <c r="AT30"/>
  <c r="AY30" s="1"/>
  <c r="AX30"/>
  <c r="AE31"/>
  <c r="AT31"/>
  <c r="AX31"/>
  <c r="AD3"/>
  <c r="AI3" s="1"/>
  <c r="AH3"/>
  <c r="AD4"/>
  <c r="AH4"/>
  <c r="AD5"/>
  <c r="AI5" s="1"/>
  <c r="AH5"/>
  <c r="AD6"/>
  <c r="AH6"/>
  <c r="AD7"/>
  <c r="AI7" s="1"/>
  <c r="AH7"/>
  <c r="AD8"/>
  <c r="AH8"/>
  <c r="AD9"/>
  <c r="AI9" s="1"/>
  <c r="AH9"/>
  <c r="AD10"/>
  <c r="AH10"/>
  <c r="AD11"/>
  <c r="AI11" s="1"/>
  <c r="AH11"/>
  <c r="AD12"/>
  <c r="AH12"/>
  <c r="AD13"/>
  <c r="AI13" s="1"/>
  <c r="AH13"/>
  <c r="AD14"/>
  <c r="AH14"/>
  <c r="AD15"/>
  <c r="AI15" s="1"/>
  <c r="AH15"/>
  <c r="AD16"/>
  <c r="AH16"/>
  <c r="AD17"/>
  <c r="AI17" s="1"/>
  <c r="AH17"/>
  <c r="AD18"/>
  <c r="AH18"/>
  <c r="AD19"/>
  <c r="AI19" s="1"/>
  <c r="AH19"/>
  <c r="AD20"/>
  <c r="AH20"/>
  <c r="AD21"/>
  <c r="AI21" s="1"/>
  <c r="AH21"/>
  <c r="AD22"/>
  <c r="AH22"/>
  <c r="AD23"/>
  <c r="AI23" s="1"/>
  <c r="AH23"/>
  <c r="AD24"/>
  <c r="AH24"/>
  <c r="AD25"/>
  <c r="AI25" s="1"/>
  <c r="AH25"/>
  <c r="AD26"/>
  <c r="AH26"/>
  <c r="AD27"/>
  <c r="AI27" s="1"/>
  <c r="AH27"/>
  <c r="AD28"/>
  <c r="AH28"/>
  <c r="AD29"/>
  <c r="AI29" s="1"/>
  <c r="AH29"/>
  <c r="AD30"/>
  <c r="AH30"/>
  <c r="AD31"/>
  <c r="AI31" s="1"/>
  <c r="AH31"/>
  <c r="AG3" i="20"/>
  <c r="AV3"/>
  <c r="AG4"/>
  <c r="AV4"/>
  <c r="AG5"/>
  <c r="AV5"/>
  <c r="AG6"/>
  <c r="AV6"/>
  <c r="AG7"/>
  <c r="AV7"/>
  <c r="AG8"/>
  <c r="AV8"/>
  <c r="AG9"/>
  <c r="AV9"/>
  <c r="V10"/>
  <c r="W10" s="1"/>
  <c r="X10" s="1"/>
  <c r="AG10"/>
  <c r="AV10"/>
  <c r="U3"/>
  <c r="AF3"/>
  <c r="AU3"/>
  <c r="U4"/>
  <c r="AF4"/>
  <c r="AU4"/>
  <c r="U5"/>
  <c r="AF5"/>
  <c r="AU5"/>
  <c r="U6"/>
  <c r="AU6"/>
  <c r="U7"/>
  <c r="AF7"/>
  <c r="AU7"/>
  <c r="U8"/>
  <c r="AF8"/>
  <c r="AU8"/>
  <c r="U9"/>
  <c r="AF9"/>
  <c r="AU9"/>
  <c r="AF10"/>
  <c r="AT3"/>
  <c r="AY3" s="1"/>
  <c r="AT4"/>
  <c r="AY4" s="1"/>
  <c r="AT5"/>
  <c r="AE6"/>
  <c r="AT6"/>
  <c r="AY6" s="1"/>
  <c r="AT7"/>
  <c r="AY7" s="1"/>
  <c r="AT8"/>
  <c r="AT9"/>
  <c r="AY9" s="1"/>
  <c r="AT10"/>
  <c r="AY10" s="1"/>
  <c r="AX10"/>
  <c r="AD3"/>
  <c r="AI3" s="1"/>
  <c r="AH3"/>
  <c r="AD4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BC80" i="19"/>
  <c r="AR80"/>
  <c r="AQ80"/>
  <c r="AM80"/>
  <c r="AB80"/>
  <c r="AA80"/>
  <c r="P80"/>
  <c r="U80" s="1"/>
  <c r="O80"/>
  <c r="AW80" s="1"/>
  <c r="AR79"/>
  <c r="AQ79"/>
  <c r="AB79"/>
  <c r="AA79"/>
  <c r="P79"/>
  <c r="U79" s="1"/>
  <c r="O79"/>
  <c r="AW79" s="1"/>
  <c r="BC78"/>
  <c r="AR78"/>
  <c r="AQ78"/>
  <c r="AM78"/>
  <c r="AB78"/>
  <c r="AA78"/>
  <c r="P78"/>
  <c r="AE78" s="1"/>
  <c r="O78"/>
  <c r="AW78" s="1"/>
  <c r="BC77"/>
  <c r="AR77"/>
  <c r="AQ77"/>
  <c r="AM77"/>
  <c r="AB77"/>
  <c r="AA77"/>
  <c r="P77"/>
  <c r="U77" s="1"/>
  <c r="O77"/>
  <c r="AW77" s="1"/>
  <c r="BC76"/>
  <c r="AR76"/>
  <c r="AQ76"/>
  <c r="AM76"/>
  <c r="AB76"/>
  <c r="AA76"/>
  <c r="P76"/>
  <c r="U76" s="1"/>
  <c r="O76"/>
  <c r="AW76" s="1"/>
  <c r="BC75"/>
  <c r="AR75"/>
  <c r="AQ75"/>
  <c r="AM75"/>
  <c r="AB75"/>
  <c r="AA75"/>
  <c r="P75"/>
  <c r="U75" s="1"/>
  <c r="O75"/>
  <c r="AW75" s="1"/>
  <c r="BC74"/>
  <c r="AR74"/>
  <c r="AQ74"/>
  <c r="AM74"/>
  <c r="AB74"/>
  <c r="AA74"/>
  <c r="P74"/>
  <c r="U74" s="1"/>
  <c r="O74"/>
  <c r="AW74" s="1"/>
  <c r="BC73"/>
  <c r="AR73"/>
  <c r="AQ73"/>
  <c r="AM73"/>
  <c r="AB73"/>
  <c r="AA73"/>
  <c r="P73"/>
  <c r="U73" s="1"/>
  <c r="O73"/>
  <c r="AW73" s="1"/>
  <c r="BC72"/>
  <c r="AR72"/>
  <c r="AQ72"/>
  <c r="AM72"/>
  <c r="AB72"/>
  <c r="AA72"/>
  <c r="P72"/>
  <c r="U72" s="1"/>
  <c r="O72"/>
  <c r="AW72" s="1"/>
  <c r="BC71"/>
  <c r="AR71"/>
  <c r="AQ71"/>
  <c r="AM71"/>
  <c r="AB71"/>
  <c r="AA71"/>
  <c r="P71"/>
  <c r="U71" s="1"/>
  <c r="O71"/>
  <c r="AW71" s="1"/>
  <c r="BC70"/>
  <c r="AR70"/>
  <c r="AQ70"/>
  <c r="AM70"/>
  <c r="AB70"/>
  <c r="AA70"/>
  <c r="P70"/>
  <c r="U70" s="1"/>
  <c r="O70"/>
  <c r="AW70" s="1"/>
  <c r="BC69"/>
  <c r="AR69"/>
  <c r="AQ69"/>
  <c r="AM69"/>
  <c r="AB69"/>
  <c r="AA69"/>
  <c r="P69"/>
  <c r="U69" s="1"/>
  <c r="O69"/>
  <c r="AW69" s="1"/>
  <c r="BC68"/>
  <c r="AR68"/>
  <c r="AQ68"/>
  <c r="AM68"/>
  <c r="AB68"/>
  <c r="AA68"/>
  <c r="P68"/>
  <c r="U68" s="1"/>
  <c r="O68"/>
  <c r="AW68" s="1"/>
  <c r="BC67"/>
  <c r="AR67"/>
  <c r="AQ67"/>
  <c r="AM67"/>
  <c r="AB67"/>
  <c r="AA67"/>
  <c r="P67"/>
  <c r="U67" s="1"/>
  <c r="O67"/>
  <c r="AW67" s="1"/>
  <c r="BC66"/>
  <c r="AR66"/>
  <c r="AQ66"/>
  <c r="AM66"/>
  <c r="AB66"/>
  <c r="AA66"/>
  <c r="P66"/>
  <c r="U66" s="1"/>
  <c r="O66"/>
  <c r="AW66" s="1"/>
  <c r="AR65"/>
  <c r="AQ65"/>
  <c r="AB65"/>
  <c r="AA65"/>
  <c r="P65"/>
  <c r="U65" s="1"/>
  <c r="O65"/>
  <c r="AW65" s="1"/>
  <c r="BC64"/>
  <c r="AR64"/>
  <c r="AQ64"/>
  <c r="AM64"/>
  <c r="AB64"/>
  <c r="AA64"/>
  <c r="P64"/>
  <c r="U64" s="1"/>
  <c r="O64"/>
  <c r="AW64" s="1"/>
  <c r="BC63"/>
  <c r="AR63"/>
  <c r="AQ63"/>
  <c r="AM63"/>
  <c r="AB63"/>
  <c r="AA63"/>
  <c r="P63"/>
  <c r="U63" s="1"/>
  <c r="O63"/>
  <c r="AW63" s="1"/>
  <c r="BC62"/>
  <c r="AR62"/>
  <c r="AQ62"/>
  <c r="AM62"/>
  <c r="AB62"/>
  <c r="AA62"/>
  <c r="P62"/>
  <c r="U62" s="1"/>
  <c r="O62"/>
  <c r="AW62" s="1"/>
  <c r="BC61"/>
  <c r="AR61"/>
  <c r="AQ61"/>
  <c r="AM61"/>
  <c r="AB61"/>
  <c r="AA61"/>
  <c r="P61"/>
  <c r="U61" s="1"/>
  <c r="O61"/>
  <c r="AW61" s="1"/>
  <c r="BC60"/>
  <c r="AR60"/>
  <c r="AQ60"/>
  <c r="AM60"/>
  <c r="AB60"/>
  <c r="AA60"/>
  <c r="P60"/>
  <c r="U60" s="1"/>
  <c r="O60"/>
  <c r="AW60" s="1"/>
  <c r="BC59"/>
  <c r="AR59"/>
  <c r="AQ59"/>
  <c r="AM59"/>
  <c r="AB59"/>
  <c r="AA59"/>
  <c r="P59"/>
  <c r="U59" s="1"/>
  <c r="O59"/>
  <c r="AW59" s="1"/>
  <c r="BC58"/>
  <c r="AR58"/>
  <c r="AQ58"/>
  <c r="AM58"/>
  <c r="AB58"/>
  <c r="AA58"/>
  <c r="P58"/>
  <c r="U58" s="1"/>
  <c r="O58"/>
  <c r="AW58" s="1"/>
  <c r="BC57"/>
  <c r="AR57"/>
  <c r="AQ57"/>
  <c r="AM57"/>
  <c r="AB57"/>
  <c r="AA57"/>
  <c r="P57"/>
  <c r="U57" s="1"/>
  <c r="O57"/>
  <c r="AW57" s="1"/>
  <c r="AR56"/>
  <c r="AQ56"/>
  <c r="AB56"/>
  <c r="AA56"/>
  <c r="P56"/>
  <c r="U56" s="1"/>
  <c r="O56"/>
  <c r="AW56" s="1"/>
  <c r="AR55"/>
  <c r="AQ55"/>
  <c r="AB55"/>
  <c r="AA55"/>
  <c r="P55"/>
  <c r="U55" s="1"/>
  <c r="O55"/>
  <c r="AW55" s="1"/>
  <c r="BC54"/>
  <c r="AR54"/>
  <c r="AQ54"/>
  <c r="AM54"/>
  <c r="AB54"/>
  <c r="AA54"/>
  <c r="P54"/>
  <c r="U54" s="1"/>
  <c r="O54"/>
  <c r="AW54" s="1"/>
  <c r="BC53"/>
  <c r="AR53"/>
  <c r="AQ53"/>
  <c r="AM53"/>
  <c r="AB53"/>
  <c r="AA53"/>
  <c r="P53"/>
  <c r="U53" s="1"/>
  <c r="O53"/>
  <c r="AW53" s="1"/>
  <c r="BC52"/>
  <c r="AR52"/>
  <c r="AQ52"/>
  <c r="AM52"/>
  <c r="AB52"/>
  <c r="AA52"/>
  <c r="P52"/>
  <c r="U52" s="1"/>
  <c r="O52"/>
  <c r="AW52" s="1"/>
  <c r="BC51"/>
  <c r="AR51"/>
  <c r="AQ51"/>
  <c r="AM51"/>
  <c r="AB51"/>
  <c r="AA51"/>
  <c r="P51"/>
  <c r="U51" s="1"/>
  <c r="O51"/>
  <c r="AW51" s="1"/>
  <c r="BC50"/>
  <c r="AR50"/>
  <c r="AQ50"/>
  <c r="AM50"/>
  <c r="AB50"/>
  <c r="AA50"/>
  <c r="P50"/>
  <c r="U50" s="1"/>
  <c r="O50"/>
  <c r="AW50" s="1"/>
  <c r="BC49"/>
  <c r="AR49"/>
  <c r="AQ49"/>
  <c r="AM49"/>
  <c r="AB49"/>
  <c r="AA49"/>
  <c r="P49"/>
  <c r="U49" s="1"/>
  <c r="O49"/>
  <c r="AW49" s="1"/>
  <c r="BC48"/>
  <c r="AR48"/>
  <c r="AQ48"/>
  <c r="AM48"/>
  <c r="AB48"/>
  <c r="AA48"/>
  <c r="P48"/>
  <c r="U48" s="1"/>
  <c r="O48"/>
  <c r="AW48" s="1"/>
  <c r="AR47"/>
  <c r="AQ47"/>
  <c r="AB47"/>
  <c r="AA47"/>
  <c r="P47"/>
  <c r="U47" s="1"/>
  <c r="O47"/>
  <c r="AW47" s="1"/>
  <c r="BC46"/>
  <c r="AR46"/>
  <c r="AQ46"/>
  <c r="AM46"/>
  <c r="AB46"/>
  <c r="AA46"/>
  <c r="P46"/>
  <c r="U46" s="1"/>
  <c r="O46"/>
  <c r="AW46" s="1"/>
  <c r="BC45"/>
  <c r="AT45"/>
  <c r="AR45"/>
  <c r="AQ45"/>
  <c r="AM45"/>
  <c r="AD45"/>
  <c r="AB45"/>
  <c r="AA45"/>
  <c r="P45"/>
  <c r="O45"/>
  <c r="BC44"/>
  <c r="AT44"/>
  <c r="AR44"/>
  <c r="AQ44"/>
  <c r="AM44"/>
  <c r="AD44"/>
  <c r="AB44"/>
  <c r="AA44"/>
  <c r="P44"/>
  <c r="O44"/>
  <c r="BC43"/>
  <c r="AT43"/>
  <c r="AR43"/>
  <c r="AQ43"/>
  <c r="AM43"/>
  <c r="AD43"/>
  <c r="AB43"/>
  <c r="AA43"/>
  <c r="P43"/>
  <c r="O43"/>
  <c r="BC42"/>
  <c r="AT42"/>
  <c r="AR42"/>
  <c r="AQ42"/>
  <c r="AM42"/>
  <c r="AD42"/>
  <c r="AB42"/>
  <c r="AA42"/>
  <c r="W42"/>
  <c r="P42"/>
  <c r="U42" s="1"/>
  <c r="V42" s="1"/>
  <c r="O42"/>
  <c r="BC41"/>
  <c r="AT41"/>
  <c r="AR41"/>
  <c r="AQ41"/>
  <c r="AM41"/>
  <c r="AD41"/>
  <c r="AB41"/>
  <c r="AA41"/>
  <c r="W41"/>
  <c r="P41"/>
  <c r="U41" s="1"/>
  <c r="V41" s="1"/>
  <c r="O41"/>
  <c r="BC40"/>
  <c r="AT40"/>
  <c r="AR40"/>
  <c r="AQ40"/>
  <c r="AM40"/>
  <c r="AD40"/>
  <c r="AB40"/>
  <c r="AA40"/>
  <c r="W40"/>
  <c r="P40"/>
  <c r="U40" s="1"/>
  <c r="V40" s="1"/>
  <c r="O40"/>
  <c r="BC39"/>
  <c r="AT39"/>
  <c r="AR39"/>
  <c r="AQ39"/>
  <c r="AM39"/>
  <c r="AD39"/>
  <c r="AB39"/>
  <c r="AA39"/>
  <c r="P39"/>
  <c r="U39" s="1"/>
  <c r="O39"/>
  <c r="BC38"/>
  <c r="AR38"/>
  <c r="AQ38"/>
  <c r="AM38"/>
  <c r="AB38"/>
  <c r="AA38"/>
  <c r="P38"/>
  <c r="O38"/>
  <c r="BC37"/>
  <c r="AR37"/>
  <c r="AQ37"/>
  <c r="AM37"/>
  <c r="AH37"/>
  <c r="AD37"/>
  <c r="AB37"/>
  <c r="AA37"/>
  <c r="P37"/>
  <c r="O37"/>
  <c r="BC36"/>
  <c r="AR36"/>
  <c r="AQ36"/>
  <c r="AM36"/>
  <c r="AB36"/>
  <c r="AA36"/>
  <c r="P36"/>
  <c r="O36"/>
  <c r="BC35"/>
  <c r="AR35"/>
  <c r="AQ35"/>
  <c r="AM35"/>
  <c r="AH35"/>
  <c r="AD35"/>
  <c r="AB35"/>
  <c r="AA35"/>
  <c r="P35"/>
  <c r="O35"/>
  <c r="BC34"/>
  <c r="AR34"/>
  <c r="AQ34"/>
  <c r="AM34"/>
  <c r="AB34"/>
  <c r="AA34"/>
  <c r="P34"/>
  <c r="O34"/>
  <c r="BC33"/>
  <c r="AR33"/>
  <c r="AQ33"/>
  <c r="AM33"/>
  <c r="AH33"/>
  <c r="AD33"/>
  <c r="AB33"/>
  <c r="AA33"/>
  <c r="P33"/>
  <c r="U33" s="1"/>
  <c r="O33"/>
  <c r="BC32"/>
  <c r="AR32"/>
  <c r="AQ32"/>
  <c r="AM32"/>
  <c r="AB32"/>
  <c r="AA32"/>
  <c r="P32"/>
  <c r="O32"/>
  <c r="BC31"/>
  <c r="AR31"/>
  <c r="AQ31"/>
  <c r="AM31"/>
  <c r="AH31"/>
  <c r="AD31"/>
  <c r="AB31"/>
  <c r="AA31"/>
  <c r="P31"/>
  <c r="U31" s="1"/>
  <c r="O31"/>
  <c r="BC30"/>
  <c r="AR30"/>
  <c r="AQ30"/>
  <c r="AM30"/>
  <c r="AB30"/>
  <c r="AA30"/>
  <c r="P30"/>
  <c r="O30"/>
  <c r="BC29"/>
  <c r="AR29"/>
  <c r="AQ29"/>
  <c r="AM29"/>
  <c r="AH29"/>
  <c r="AD29"/>
  <c r="AB29"/>
  <c r="AA29"/>
  <c r="P29"/>
  <c r="U29" s="1"/>
  <c r="O29"/>
  <c r="AW28"/>
  <c r="AR28"/>
  <c r="AQ28"/>
  <c r="AH28"/>
  <c r="AD28"/>
  <c r="AB28"/>
  <c r="AA28"/>
  <c r="P28"/>
  <c r="U28" s="1"/>
  <c r="O28"/>
  <c r="BC27"/>
  <c r="AR27"/>
  <c r="AQ27"/>
  <c r="AM27"/>
  <c r="AB27"/>
  <c r="AA27"/>
  <c r="P27"/>
  <c r="O27"/>
  <c r="BC26"/>
  <c r="AR26"/>
  <c r="AQ26"/>
  <c r="AM26"/>
  <c r="AH26"/>
  <c r="AD26"/>
  <c r="AB26"/>
  <c r="AA26"/>
  <c r="P26"/>
  <c r="U26" s="1"/>
  <c r="O26"/>
  <c r="BC25"/>
  <c r="AR25"/>
  <c r="AQ25"/>
  <c r="AM25"/>
  <c r="AB25"/>
  <c r="AA25"/>
  <c r="P25"/>
  <c r="O25"/>
  <c r="BC24"/>
  <c r="AR24"/>
  <c r="AQ24"/>
  <c r="AM24"/>
  <c r="AH24"/>
  <c r="AD24"/>
  <c r="AB24"/>
  <c r="AA24"/>
  <c r="P24"/>
  <c r="U24" s="1"/>
  <c r="O24"/>
  <c r="BC23"/>
  <c r="AR23"/>
  <c r="AQ23"/>
  <c r="AM23"/>
  <c r="AB23"/>
  <c r="AA23"/>
  <c r="P23"/>
  <c r="O23"/>
  <c r="BC22"/>
  <c r="AR22"/>
  <c r="AQ22"/>
  <c r="AM22"/>
  <c r="AH22"/>
  <c r="AD22"/>
  <c r="AB22"/>
  <c r="AA22"/>
  <c r="P22"/>
  <c r="O22"/>
  <c r="BC21"/>
  <c r="AR21"/>
  <c r="AQ21"/>
  <c r="AM21"/>
  <c r="AB21"/>
  <c r="AA21"/>
  <c r="P21"/>
  <c r="O21"/>
  <c r="AR20"/>
  <c r="AQ20"/>
  <c r="AB20"/>
  <c r="AA20"/>
  <c r="P20"/>
  <c r="O20"/>
  <c r="BC19"/>
  <c r="AR19"/>
  <c r="AQ19"/>
  <c r="AM19"/>
  <c r="AH19"/>
  <c r="AD19"/>
  <c r="AB19"/>
  <c r="AA19"/>
  <c r="P19"/>
  <c r="O19"/>
  <c r="BC18"/>
  <c r="AR18"/>
  <c r="AQ18"/>
  <c r="AM18"/>
  <c r="AB18"/>
  <c r="AA18"/>
  <c r="P18"/>
  <c r="O18"/>
  <c r="BC17"/>
  <c r="AR17"/>
  <c r="AQ17"/>
  <c r="AM17"/>
  <c r="AH17"/>
  <c r="AD17"/>
  <c r="AB17"/>
  <c r="AA17"/>
  <c r="P17"/>
  <c r="U17" s="1"/>
  <c r="O17"/>
  <c r="BC16"/>
  <c r="AR16"/>
  <c r="AQ16"/>
  <c r="AM16"/>
  <c r="AB16"/>
  <c r="AA16"/>
  <c r="P16"/>
  <c r="O16"/>
  <c r="BC15"/>
  <c r="AR15"/>
  <c r="AQ15"/>
  <c r="AM15"/>
  <c r="AH15"/>
  <c r="AD15"/>
  <c r="AB15"/>
  <c r="AA15"/>
  <c r="P15"/>
  <c r="U15" s="1"/>
  <c r="O15"/>
  <c r="BC14"/>
  <c r="AR14"/>
  <c r="AQ14"/>
  <c r="AM14"/>
  <c r="AB14"/>
  <c r="AA14"/>
  <c r="P14"/>
  <c r="O14"/>
  <c r="BC13"/>
  <c r="AR13"/>
  <c r="AQ13"/>
  <c r="AM13"/>
  <c r="AH13"/>
  <c r="AD13"/>
  <c r="AB13"/>
  <c r="AA13"/>
  <c r="P13"/>
  <c r="U13" s="1"/>
  <c r="O13"/>
  <c r="BC12"/>
  <c r="AW12"/>
  <c r="AR12"/>
  <c r="AQ12"/>
  <c r="AM12"/>
  <c r="AG12"/>
  <c r="AD12"/>
  <c r="AB12"/>
  <c r="AA12"/>
  <c r="V12"/>
  <c r="W12" s="1"/>
  <c r="P12"/>
  <c r="U12" s="1"/>
  <c r="O12"/>
  <c r="BC11"/>
  <c r="AW11"/>
  <c r="AV11"/>
  <c r="AR11"/>
  <c r="AQ11"/>
  <c r="AM11"/>
  <c r="AG11"/>
  <c r="AD11"/>
  <c r="AB11"/>
  <c r="AA11"/>
  <c r="V11"/>
  <c r="W11" s="1"/>
  <c r="P11"/>
  <c r="U11" s="1"/>
  <c r="O11"/>
  <c r="BC10"/>
  <c r="AW10"/>
  <c r="AV10"/>
  <c r="AR10"/>
  <c r="AQ10"/>
  <c r="AM10"/>
  <c r="AG10"/>
  <c r="AD10"/>
  <c r="AB10"/>
  <c r="AA10"/>
  <c r="P10"/>
  <c r="O10"/>
  <c r="BC9"/>
  <c r="AW9"/>
  <c r="AV9"/>
  <c r="AR9"/>
  <c r="AQ9"/>
  <c r="AM9"/>
  <c r="AG9"/>
  <c r="AD9"/>
  <c r="AB9"/>
  <c r="AA9"/>
  <c r="P9"/>
  <c r="O9"/>
  <c r="BC8"/>
  <c r="AW8"/>
  <c r="AV8"/>
  <c r="AR8"/>
  <c r="AQ8"/>
  <c r="AM8"/>
  <c r="AG8"/>
  <c r="AD8"/>
  <c r="AB8"/>
  <c r="AA8"/>
  <c r="V8"/>
  <c r="W8" s="1"/>
  <c r="P8"/>
  <c r="U8" s="1"/>
  <c r="O8"/>
  <c r="BC7"/>
  <c r="AW7"/>
  <c r="AV7"/>
  <c r="AR7"/>
  <c r="AQ7"/>
  <c r="AM7"/>
  <c r="AG7"/>
  <c r="AD7"/>
  <c r="AB7"/>
  <c r="AA7"/>
  <c r="V7"/>
  <c r="W7" s="1"/>
  <c r="P7"/>
  <c r="U7" s="1"/>
  <c r="O7"/>
  <c r="BC6"/>
  <c r="AW6"/>
  <c r="AV6"/>
  <c r="AR6"/>
  <c r="AQ6"/>
  <c r="AM6"/>
  <c r="AG6"/>
  <c r="AD6"/>
  <c r="AB6"/>
  <c r="AA6"/>
  <c r="V6"/>
  <c r="W6" s="1"/>
  <c r="P6"/>
  <c r="U6" s="1"/>
  <c r="O6"/>
  <c r="BC5"/>
  <c r="AW5"/>
  <c r="AV5"/>
  <c r="AR5"/>
  <c r="AQ5"/>
  <c r="AM5"/>
  <c r="AG5"/>
  <c r="AD5"/>
  <c r="AB5"/>
  <c r="AA5"/>
  <c r="V5"/>
  <c r="W5" s="1"/>
  <c r="P5"/>
  <c r="U5" s="1"/>
  <c r="O5"/>
  <c r="BC4"/>
  <c r="AW4"/>
  <c r="AV4"/>
  <c r="AR4"/>
  <c r="AQ4"/>
  <c r="AM4"/>
  <c r="AG4"/>
  <c r="AD4"/>
  <c r="AB4"/>
  <c r="AA4"/>
  <c r="V4"/>
  <c r="W4" s="1"/>
  <c r="P4"/>
  <c r="U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3" i="18"/>
  <c r="AR53"/>
  <c r="AQ53"/>
  <c r="AM53"/>
  <c r="AB53"/>
  <c r="AA53"/>
  <c r="P53"/>
  <c r="O53"/>
  <c r="AV53" s="1"/>
  <c r="BC52"/>
  <c r="AR52"/>
  <c r="AQ52"/>
  <c r="AM52"/>
  <c r="AB52"/>
  <c r="AA52"/>
  <c r="P52"/>
  <c r="O52"/>
  <c r="AV52" s="1"/>
  <c r="BC51"/>
  <c r="AR51"/>
  <c r="AQ51"/>
  <c r="AM51"/>
  <c r="AB51"/>
  <c r="AA51"/>
  <c r="P51"/>
  <c r="O51"/>
  <c r="AV51" s="1"/>
  <c r="AR50"/>
  <c r="AQ50"/>
  <c r="AD50"/>
  <c r="AB50"/>
  <c r="AA50"/>
  <c r="P50"/>
  <c r="O50"/>
  <c r="AR49"/>
  <c r="AQ49"/>
  <c r="AB49"/>
  <c r="AA49"/>
  <c r="P49"/>
  <c r="U49" s="1"/>
  <c r="V49" s="1"/>
  <c r="O49"/>
  <c r="BC48"/>
  <c r="AR48"/>
  <c r="AQ48"/>
  <c r="AM48"/>
  <c r="AB48"/>
  <c r="AA48"/>
  <c r="P48"/>
  <c r="U48" s="1"/>
  <c r="V48" s="1"/>
  <c r="O48"/>
  <c r="BC47"/>
  <c r="AR47"/>
  <c r="AQ47"/>
  <c r="AM47"/>
  <c r="AB47"/>
  <c r="AA47"/>
  <c r="P47"/>
  <c r="U47" s="1"/>
  <c r="V47" s="1"/>
  <c r="O47"/>
  <c r="BC46"/>
  <c r="AR46"/>
  <c r="AQ46"/>
  <c r="AM46"/>
  <c r="AB46"/>
  <c r="AA46"/>
  <c r="P46"/>
  <c r="U46" s="1"/>
  <c r="V46" s="1"/>
  <c r="O46"/>
  <c r="BC45"/>
  <c r="AR45"/>
  <c r="AQ45"/>
  <c r="AM45"/>
  <c r="AB45"/>
  <c r="AA45"/>
  <c r="P45"/>
  <c r="U45" s="1"/>
  <c r="V45" s="1"/>
  <c r="O45"/>
  <c r="AR44"/>
  <c r="AQ44"/>
  <c r="AB44"/>
  <c r="AA44"/>
  <c r="P44"/>
  <c r="O44"/>
  <c r="BC43"/>
  <c r="AR43"/>
  <c r="AQ43"/>
  <c r="AM43"/>
  <c r="AB43"/>
  <c r="AA43"/>
  <c r="P43"/>
  <c r="O43"/>
  <c r="BC42"/>
  <c r="AR42"/>
  <c r="AQ42"/>
  <c r="AM42"/>
  <c r="AB42"/>
  <c r="AA42"/>
  <c r="P42"/>
  <c r="O42"/>
  <c r="BC41"/>
  <c r="AR41"/>
  <c r="AQ41"/>
  <c r="AM41"/>
  <c r="AB41"/>
  <c r="AA41"/>
  <c r="P41"/>
  <c r="O41"/>
  <c r="BC40"/>
  <c r="AR40"/>
  <c r="AQ40"/>
  <c r="AM40"/>
  <c r="AB40"/>
  <c r="AA40"/>
  <c r="P40"/>
  <c r="O40"/>
  <c r="BC39"/>
  <c r="AR39"/>
  <c r="AQ39"/>
  <c r="AM39"/>
  <c r="AB39"/>
  <c r="AA39"/>
  <c r="P39"/>
  <c r="O39"/>
  <c r="AW38"/>
  <c r="AR38"/>
  <c r="AQ38"/>
  <c r="AE38"/>
  <c r="AB38"/>
  <c r="AA38"/>
  <c r="P38"/>
  <c r="U38" s="1"/>
  <c r="V38" s="1"/>
  <c r="O38"/>
  <c r="BC37"/>
  <c r="AW37"/>
  <c r="AR37"/>
  <c r="AQ37"/>
  <c r="AM37"/>
  <c r="AE37"/>
  <c r="AB37"/>
  <c r="AA37"/>
  <c r="P37"/>
  <c r="U37" s="1"/>
  <c r="V37" s="1"/>
  <c r="O37"/>
  <c r="BC36"/>
  <c r="AW36"/>
  <c r="AR36"/>
  <c r="AQ36"/>
  <c r="AM36"/>
  <c r="AE36"/>
  <c r="AB36"/>
  <c r="AA36"/>
  <c r="P36"/>
  <c r="U36" s="1"/>
  <c r="V36" s="1"/>
  <c r="O36"/>
  <c r="BC35"/>
  <c r="AW35"/>
  <c r="AR35"/>
  <c r="AQ35"/>
  <c r="AM35"/>
  <c r="AE35"/>
  <c r="AB35"/>
  <c r="AA35"/>
  <c r="P35"/>
  <c r="U35" s="1"/>
  <c r="V35" s="1"/>
  <c r="O35"/>
  <c r="AT34"/>
  <c r="AR34"/>
  <c r="AQ34"/>
  <c r="AD34"/>
  <c r="AB34"/>
  <c r="AA34"/>
  <c r="P34"/>
  <c r="O34"/>
  <c r="BC33"/>
  <c r="AT33"/>
  <c r="AR33"/>
  <c r="AQ33"/>
  <c r="AM33"/>
  <c r="AD33"/>
  <c r="AB33"/>
  <c r="AA33"/>
  <c r="P33"/>
  <c r="O33"/>
  <c r="AR32"/>
  <c r="AQ32"/>
  <c r="AB32"/>
  <c r="AA32"/>
  <c r="P32"/>
  <c r="U32" s="1"/>
  <c r="V32" s="1"/>
  <c r="O32"/>
  <c r="BC31"/>
  <c r="AR31"/>
  <c r="AQ31"/>
  <c r="AM31"/>
  <c r="AB31"/>
  <c r="AA31"/>
  <c r="P31"/>
  <c r="O31"/>
  <c r="AX31" s="1"/>
  <c r="BC30"/>
  <c r="AR30"/>
  <c r="AQ30"/>
  <c r="AM30"/>
  <c r="AB30"/>
  <c r="AA30"/>
  <c r="P30"/>
  <c r="O30"/>
  <c r="BC29"/>
  <c r="AV29"/>
  <c r="AR29"/>
  <c r="AQ29"/>
  <c r="AM29"/>
  <c r="AH29"/>
  <c r="AB29"/>
  <c r="AA29"/>
  <c r="P29"/>
  <c r="O29"/>
  <c r="AT29" s="1"/>
  <c r="AR28"/>
  <c r="AQ28"/>
  <c r="AT28" s="1"/>
  <c r="AD28"/>
  <c r="AB28"/>
  <c r="AA28"/>
  <c r="P28"/>
  <c r="U28" s="1"/>
  <c r="O28"/>
  <c r="AR27"/>
  <c r="AQ27"/>
  <c r="AB27"/>
  <c r="AA27"/>
  <c r="P27"/>
  <c r="O27"/>
  <c r="AR26"/>
  <c r="AQ26"/>
  <c r="AB26"/>
  <c r="AA26"/>
  <c r="P26"/>
  <c r="O26"/>
  <c r="AX26" s="1"/>
  <c r="AR25"/>
  <c r="AQ25"/>
  <c r="AB25"/>
  <c r="AA25"/>
  <c r="P25"/>
  <c r="O25"/>
  <c r="AX25" s="1"/>
  <c r="BC24"/>
  <c r="AR24"/>
  <c r="AQ24"/>
  <c r="AM24"/>
  <c r="AB24"/>
  <c r="AA24"/>
  <c r="P24"/>
  <c r="O24"/>
  <c r="AX24" s="1"/>
  <c r="BC23"/>
  <c r="AR23"/>
  <c r="AQ23"/>
  <c r="AM23"/>
  <c r="AB23"/>
  <c r="AA23"/>
  <c r="P23"/>
  <c r="O23"/>
  <c r="AX23" s="1"/>
  <c r="BC22"/>
  <c r="AR22"/>
  <c r="AQ22"/>
  <c r="AM22"/>
  <c r="AB22"/>
  <c r="AA22"/>
  <c r="P22"/>
  <c r="O22"/>
  <c r="AX22" s="1"/>
  <c r="BC21"/>
  <c r="AR21"/>
  <c r="AQ21"/>
  <c r="AM21"/>
  <c r="AB21"/>
  <c r="AA21"/>
  <c r="P21"/>
  <c r="O21"/>
  <c r="AX21" s="1"/>
  <c r="BC20"/>
  <c r="AR20"/>
  <c r="AQ20"/>
  <c r="AM20"/>
  <c r="AB20"/>
  <c r="AA20"/>
  <c r="P20"/>
  <c r="O20"/>
  <c r="AX20" s="1"/>
  <c r="BA20" s="1"/>
  <c r="BB20" s="1"/>
  <c r="BD20" s="1"/>
  <c r="BC19"/>
  <c r="AR19"/>
  <c r="AQ19"/>
  <c r="AM19"/>
  <c r="AB19"/>
  <c r="AA19"/>
  <c r="P19"/>
  <c r="O19"/>
  <c r="AX19" s="1"/>
  <c r="AR18"/>
  <c r="AQ18"/>
  <c r="AB18"/>
  <c r="AA18"/>
  <c r="P18"/>
  <c r="O18"/>
  <c r="AX18" s="1"/>
  <c r="BC17"/>
  <c r="AR17"/>
  <c r="AQ17"/>
  <c r="AM17"/>
  <c r="AB17"/>
  <c r="AA17"/>
  <c r="P17"/>
  <c r="O17"/>
  <c r="AX17" s="1"/>
  <c r="BC16"/>
  <c r="AR16"/>
  <c r="AQ16"/>
  <c r="AM16"/>
  <c r="AB16"/>
  <c r="AA16"/>
  <c r="P16"/>
  <c r="O16"/>
  <c r="AX16" s="1"/>
  <c r="BA16" s="1"/>
  <c r="BB16" s="1"/>
  <c r="BD16" s="1"/>
  <c r="AR15"/>
  <c r="AQ15"/>
  <c r="AB15"/>
  <c r="AA15"/>
  <c r="P15"/>
  <c r="O15"/>
  <c r="AX15" s="1"/>
  <c r="BA15" s="1"/>
  <c r="BB15" s="1"/>
  <c r="BC14"/>
  <c r="AR14"/>
  <c r="AQ14"/>
  <c r="AM14"/>
  <c r="AB14"/>
  <c r="AA14"/>
  <c r="P14"/>
  <c r="O14"/>
  <c r="AX14" s="1"/>
  <c r="BC13"/>
  <c r="AR13"/>
  <c r="AQ13"/>
  <c r="AM13"/>
  <c r="AB13"/>
  <c r="AA13"/>
  <c r="P13"/>
  <c r="O13"/>
  <c r="AX13" s="1"/>
  <c r="AR12"/>
  <c r="AQ12"/>
  <c r="AB12"/>
  <c r="AA12"/>
  <c r="P12"/>
  <c r="O12"/>
  <c r="AX12" s="1"/>
  <c r="BC11"/>
  <c r="AR11"/>
  <c r="AQ11"/>
  <c r="AM11"/>
  <c r="AB11"/>
  <c r="AA11"/>
  <c r="P11"/>
  <c r="O11"/>
  <c r="AX11" s="1"/>
  <c r="BC10"/>
  <c r="AR10"/>
  <c r="AQ10"/>
  <c r="AM10"/>
  <c r="AB10"/>
  <c r="AA10"/>
  <c r="P10"/>
  <c r="O10"/>
  <c r="AX10" s="1"/>
  <c r="BA10" s="1"/>
  <c r="BB10" s="1"/>
  <c r="BD10" s="1"/>
  <c r="BC9"/>
  <c r="AR9"/>
  <c r="AQ9"/>
  <c r="AM9"/>
  <c r="AB9"/>
  <c r="AA9"/>
  <c r="P9"/>
  <c r="O9"/>
  <c r="AX9" s="1"/>
  <c r="BA9" s="1"/>
  <c r="BB9" s="1"/>
  <c r="BD9" s="1"/>
  <c r="BC8"/>
  <c r="AR8"/>
  <c r="AQ8"/>
  <c r="AM8"/>
  <c r="AB8"/>
  <c r="AA8"/>
  <c r="P8"/>
  <c r="O8"/>
  <c r="AX8" s="1"/>
  <c r="BA8" s="1"/>
  <c r="BB8" s="1"/>
  <c r="BD8" s="1"/>
  <c r="AR7"/>
  <c r="AQ7"/>
  <c r="AB7"/>
  <c r="AA7"/>
  <c r="P7"/>
  <c r="O7"/>
  <c r="AX7" s="1"/>
  <c r="BA7" s="1"/>
  <c r="BB7" s="1"/>
  <c r="BC6"/>
  <c r="AR6"/>
  <c r="AQ6"/>
  <c r="AM6"/>
  <c r="AB6"/>
  <c r="AA6"/>
  <c r="P6"/>
  <c r="O6"/>
  <c r="AX6" s="1"/>
  <c r="BA6" s="1"/>
  <c r="BB6" s="1"/>
  <c r="BD6" s="1"/>
  <c r="AR5"/>
  <c r="AQ5"/>
  <c r="AB5"/>
  <c r="AA5"/>
  <c r="P5"/>
  <c r="O5"/>
  <c r="AX5" s="1"/>
  <c r="BA5" s="1"/>
  <c r="BB5" s="1"/>
  <c r="AR4"/>
  <c r="AQ4"/>
  <c r="AB4"/>
  <c r="AA4"/>
  <c r="P4"/>
  <c r="O4"/>
  <c r="AX4" s="1"/>
  <c r="BA4" s="1"/>
  <c r="BB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AR30" i="14"/>
  <c r="AQ30"/>
  <c r="AB30"/>
  <c r="AA30"/>
  <c r="AH30" s="1"/>
  <c r="P30"/>
  <c r="O30"/>
  <c r="U30" s="1"/>
  <c r="BC29"/>
  <c r="AV29"/>
  <c r="AR29"/>
  <c r="AQ29"/>
  <c r="AM29"/>
  <c r="AB29"/>
  <c r="AA29"/>
  <c r="V29"/>
  <c r="U29"/>
  <c r="P29"/>
  <c r="O29"/>
  <c r="AR28"/>
  <c r="AQ28"/>
  <c r="AV28" s="1"/>
  <c r="AB28"/>
  <c r="AG28" s="1"/>
  <c r="AA28"/>
  <c r="AE28" s="1"/>
  <c r="V28"/>
  <c r="U28"/>
  <c r="P28"/>
  <c r="O28"/>
  <c r="AW28" s="1"/>
  <c r="BC27"/>
  <c r="AV27"/>
  <c r="AR27"/>
  <c r="AQ27"/>
  <c r="AM27"/>
  <c r="AB27"/>
  <c r="AA27"/>
  <c r="V27"/>
  <c r="U27"/>
  <c r="P27"/>
  <c r="O27"/>
  <c r="AW27" s="1"/>
  <c r="AR26"/>
  <c r="AQ26"/>
  <c r="AV26" s="1"/>
  <c r="AB26"/>
  <c r="AG26" s="1"/>
  <c r="AA26"/>
  <c r="AE26" s="1"/>
  <c r="V26"/>
  <c r="U26"/>
  <c r="P26"/>
  <c r="O26"/>
  <c r="AW26" s="1"/>
  <c r="AV25"/>
  <c r="AR25"/>
  <c r="AQ25"/>
  <c r="AB25"/>
  <c r="AG25" s="1"/>
  <c r="AA25"/>
  <c r="V25"/>
  <c r="U25"/>
  <c r="P25"/>
  <c r="O25"/>
  <c r="AW25" s="1"/>
  <c r="BC24"/>
  <c r="AR24"/>
  <c r="AQ24"/>
  <c r="AM24"/>
  <c r="AB24"/>
  <c r="AG24" s="1"/>
  <c r="AA24"/>
  <c r="AE24" s="1"/>
  <c r="V24"/>
  <c r="U24"/>
  <c r="P24"/>
  <c r="O24"/>
  <c r="AW24" s="1"/>
  <c r="BC23"/>
  <c r="AV23"/>
  <c r="AR23"/>
  <c r="AQ23"/>
  <c r="AM23"/>
  <c r="AB23"/>
  <c r="AA23"/>
  <c r="AE23" s="1"/>
  <c r="V23"/>
  <c r="U23"/>
  <c r="X23" s="1"/>
  <c r="P23"/>
  <c r="O23"/>
  <c r="AW23" s="1"/>
  <c r="BC22"/>
  <c r="AV22"/>
  <c r="AR22"/>
  <c r="AQ22"/>
  <c r="AM22"/>
  <c r="AG22"/>
  <c r="AB22"/>
  <c r="AA22"/>
  <c r="AE22" s="1"/>
  <c r="V22"/>
  <c r="U22"/>
  <c r="X22" s="1"/>
  <c r="P22"/>
  <c r="O22"/>
  <c r="AW22" s="1"/>
  <c r="BC21"/>
  <c r="AR21"/>
  <c r="AQ21"/>
  <c r="AV21" s="1"/>
  <c r="AM21"/>
  <c r="AB21"/>
  <c r="AG21" s="1"/>
  <c r="AA21"/>
  <c r="V21"/>
  <c r="U21"/>
  <c r="P21"/>
  <c r="O21"/>
  <c r="BC20"/>
  <c r="AR20"/>
  <c r="AQ20"/>
  <c r="AM20"/>
  <c r="AB20"/>
  <c r="AG20" s="1"/>
  <c r="AA20"/>
  <c r="AE20" s="1"/>
  <c r="V20"/>
  <c r="U20"/>
  <c r="P20"/>
  <c r="O20"/>
  <c r="AW20" s="1"/>
  <c r="AV19"/>
  <c r="AR19"/>
  <c r="AQ19"/>
  <c r="AB19"/>
  <c r="AG19" s="1"/>
  <c r="AA19"/>
  <c r="V19"/>
  <c r="U19"/>
  <c r="P19"/>
  <c r="O19"/>
  <c r="AW19" s="1"/>
  <c r="BC18"/>
  <c r="AR18"/>
  <c r="AQ18"/>
  <c r="AM18"/>
  <c r="AB18"/>
  <c r="AG18" s="1"/>
  <c r="AA18"/>
  <c r="AE18" s="1"/>
  <c r="V18"/>
  <c r="U18"/>
  <c r="P18"/>
  <c r="O18"/>
  <c r="AW18" s="1"/>
  <c r="BC17"/>
  <c r="AV17"/>
  <c r="AR17"/>
  <c r="AQ17"/>
  <c r="AM17"/>
  <c r="AB17"/>
  <c r="AA17"/>
  <c r="AE17" s="1"/>
  <c r="V17"/>
  <c r="U17"/>
  <c r="P17"/>
  <c r="O17"/>
  <c r="AW17" s="1"/>
  <c r="AV16"/>
  <c r="AR16"/>
  <c r="AQ16"/>
  <c r="AG16"/>
  <c r="AF16"/>
  <c r="AB16"/>
  <c r="AA16"/>
  <c r="AE16" s="1"/>
  <c r="U16"/>
  <c r="V16" s="1"/>
  <c r="P16"/>
  <c r="O16"/>
  <c r="BC15"/>
  <c r="AV15"/>
  <c r="AU15"/>
  <c r="AR15"/>
  <c r="AQ15"/>
  <c r="AM15"/>
  <c r="AG15"/>
  <c r="AF15"/>
  <c r="AB15"/>
  <c r="AA15"/>
  <c r="AE15" s="1"/>
  <c r="U15"/>
  <c r="V15" s="1"/>
  <c r="P15"/>
  <c r="O15"/>
  <c r="AW15" s="1"/>
  <c r="BC14"/>
  <c r="AV14"/>
  <c r="AU14"/>
  <c r="AR14"/>
  <c r="AQ14"/>
  <c r="AM14"/>
  <c r="AG14"/>
  <c r="AF14"/>
  <c r="AB14"/>
  <c r="AA14"/>
  <c r="AE14" s="1"/>
  <c r="U14"/>
  <c r="V14" s="1"/>
  <c r="P14"/>
  <c r="O14"/>
  <c r="AW14" s="1"/>
  <c r="BC13"/>
  <c r="AV13"/>
  <c r="AU13"/>
  <c r="AR13"/>
  <c r="AQ13"/>
  <c r="AM13"/>
  <c r="AG13"/>
  <c r="AF13"/>
  <c r="AB13"/>
  <c r="AA13"/>
  <c r="AE13" s="1"/>
  <c r="U13"/>
  <c r="V13" s="1"/>
  <c r="P13"/>
  <c r="O13"/>
  <c r="AW13" s="1"/>
  <c r="AV12"/>
  <c r="AU12"/>
  <c r="AR12"/>
  <c r="AQ12"/>
  <c r="AB12"/>
  <c r="AF12" s="1"/>
  <c r="AA12"/>
  <c r="U12"/>
  <c r="V12" s="1"/>
  <c r="P12"/>
  <c r="O12"/>
  <c r="BC11"/>
  <c r="BD11" s="1"/>
  <c r="AV11"/>
  <c r="AU11"/>
  <c r="AR11"/>
  <c r="AQ11"/>
  <c r="AM11"/>
  <c r="AB11"/>
  <c r="AF11" s="1"/>
  <c r="AA11"/>
  <c r="U11"/>
  <c r="V11" s="1"/>
  <c r="P11"/>
  <c r="O11"/>
  <c r="AX11" s="1"/>
  <c r="BA11" s="1"/>
  <c r="BB11" s="1"/>
  <c r="BC10"/>
  <c r="BD10" s="1"/>
  <c r="AV10"/>
  <c r="AU10"/>
  <c r="AR10"/>
  <c r="AQ10"/>
  <c r="AM10"/>
  <c r="AB10"/>
  <c r="AF10" s="1"/>
  <c r="AA10"/>
  <c r="U10"/>
  <c r="V10" s="1"/>
  <c r="P10"/>
  <c r="O10"/>
  <c r="AX10" s="1"/>
  <c r="BA10" s="1"/>
  <c r="BB10" s="1"/>
  <c r="AV9"/>
  <c r="AU9"/>
  <c r="AR9"/>
  <c r="AQ9"/>
  <c r="AB9"/>
  <c r="AA9"/>
  <c r="AG9" s="1"/>
  <c r="U9"/>
  <c r="P9"/>
  <c r="O9"/>
  <c r="AX9" s="1"/>
  <c r="BA9" s="1"/>
  <c r="BB9" s="1"/>
  <c r="BC9" s="1"/>
  <c r="BC8"/>
  <c r="AR8"/>
  <c r="AQ8"/>
  <c r="AV8" s="1"/>
  <c r="AM8"/>
  <c r="AB8"/>
  <c r="AA8"/>
  <c r="AG8" s="1"/>
  <c r="U8"/>
  <c r="P8"/>
  <c r="O8"/>
  <c r="AX8" s="1"/>
  <c r="BA8" s="1"/>
  <c r="BB8" s="1"/>
  <c r="BD8" s="1"/>
  <c r="BC7"/>
  <c r="AR7"/>
  <c r="AQ7"/>
  <c r="AV7" s="1"/>
  <c r="AM7"/>
  <c r="AB7"/>
  <c r="AA7"/>
  <c r="AG7" s="1"/>
  <c r="U7"/>
  <c r="P7"/>
  <c r="O7"/>
  <c r="AX7" s="1"/>
  <c r="AR6"/>
  <c r="AQ6"/>
  <c r="AV6" s="1"/>
  <c r="AG6"/>
  <c r="AB6"/>
  <c r="AA6"/>
  <c r="AF6" s="1"/>
  <c r="V6"/>
  <c r="U6"/>
  <c r="P6"/>
  <c r="O6"/>
  <c r="AV5"/>
  <c r="AR5"/>
  <c r="AQ5"/>
  <c r="AB5"/>
  <c r="AA5"/>
  <c r="AG5" s="1"/>
  <c r="U5"/>
  <c r="V5" s="1"/>
  <c r="P5"/>
  <c r="O5"/>
  <c r="BC4"/>
  <c r="AR4"/>
  <c r="AQ4"/>
  <c r="AV4" s="1"/>
  <c r="AM4"/>
  <c r="AB4"/>
  <c r="AA4"/>
  <c r="AF4" s="1"/>
  <c r="P4"/>
  <c r="AX4" s="1"/>
  <c r="BA4" s="1"/>
  <c r="BB4" s="1"/>
  <c r="BD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43" i="13"/>
  <c r="AR43"/>
  <c r="AQ43"/>
  <c r="AV43" s="1"/>
  <c r="AM43"/>
  <c r="AB43"/>
  <c r="AG43" s="1"/>
  <c r="AA43"/>
  <c r="P43"/>
  <c r="U43" s="1"/>
  <c r="O43"/>
  <c r="AU43" s="1"/>
  <c r="BC42"/>
  <c r="AR42"/>
  <c r="AQ42"/>
  <c r="AV42" s="1"/>
  <c r="AM42"/>
  <c r="AB42"/>
  <c r="AG42" s="1"/>
  <c r="AA42"/>
  <c r="P42"/>
  <c r="U42" s="1"/>
  <c r="O42"/>
  <c r="AU42" s="1"/>
  <c r="BC41"/>
  <c r="AR41"/>
  <c r="AQ41"/>
  <c r="AV41" s="1"/>
  <c r="AM41"/>
  <c r="AB41"/>
  <c r="AG41" s="1"/>
  <c r="AA41"/>
  <c r="P41"/>
  <c r="U41" s="1"/>
  <c r="O41"/>
  <c r="AU41" s="1"/>
  <c r="BC40"/>
  <c r="AR40"/>
  <c r="AQ40"/>
  <c r="AV40" s="1"/>
  <c r="AM40"/>
  <c r="AB40"/>
  <c r="AG40" s="1"/>
  <c r="AA40"/>
  <c r="P40"/>
  <c r="U40" s="1"/>
  <c r="O40"/>
  <c r="AU40" s="1"/>
  <c r="BC39"/>
  <c r="AR39"/>
  <c r="AQ39"/>
  <c r="AM39"/>
  <c r="AB39"/>
  <c r="AG39" s="1"/>
  <c r="AA39"/>
  <c r="P39"/>
  <c r="U39" s="1"/>
  <c r="O39"/>
  <c r="AU39" s="1"/>
  <c r="BC38"/>
  <c r="AR38"/>
  <c r="AQ38"/>
  <c r="AM38"/>
  <c r="AB38"/>
  <c r="AG38" s="1"/>
  <c r="AA38"/>
  <c r="P38"/>
  <c r="U38" s="1"/>
  <c r="O38"/>
  <c r="AU38" s="1"/>
  <c r="BC37"/>
  <c r="AR37"/>
  <c r="AQ37"/>
  <c r="AM37"/>
  <c r="AB37"/>
  <c r="AG37" s="1"/>
  <c r="AA37"/>
  <c r="P37"/>
  <c r="U37" s="1"/>
  <c r="O37"/>
  <c r="AU37" s="1"/>
  <c r="BC36"/>
  <c r="AR36"/>
  <c r="AQ36"/>
  <c r="AM36"/>
  <c r="AB36"/>
  <c r="AA36"/>
  <c r="P36"/>
  <c r="U36" s="1"/>
  <c r="O36"/>
  <c r="AU36" s="1"/>
  <c r="BC35"/>
  <c r="AR35"/>
  <c r="AQ35"/>
  <c r="AM35"/>
  <c r="AB35"/>
  <c r="AA35"/>
  <c r="P35"/>
  <c r="U35" s="1"/>
  <c r="O35"/>
  <c r="AU35" s="1"/>
  <c r="BC34"/>
  <c r="AR34"/>
  <c r="AQ34"/>
  <c r="AM34"/>
  <c r="AB34"/>
  <c r="AA34"/>
  <c r="P34"/>
  <c r="U34" s="1"/>
  <c r="O34"/>
  <c r="AU34" s="1"/>
  <c r="BC33"/>
  <c r="AR33"/>
  <c r="AQ33"/>
  <c r="AM33"/>
  <c r="AB33"/>
  <c r="AA33"/>
  <c r="P33"/>
  <c r="U33" s="1"/>
  <c r="O33"/>
  <c r="AU33" s="1"/>
  <c r="BC32"/>
  <c r="AR32"/>
  <c r="AQ32"/>
  <c r="AM32"/>
  <c r="AB32"/>
  <c r="AA32"/>
  <c r="P32"/>
  <c r="U32" s="1"/>
  <c r="O32"/>
  <c r="AU32" s="1"/>
  <c r="BC31"/>
  <c r="AR31"/>
  <c r="AQ31"/>
  <c r="AM31"/>
  <c r="AB31"/>
  <c r="AA31"/>
  <c r="P31"/>
  <c r="U31" s="1"/>
  <c r="O31"/>
  <c r="AU31" s="1"/>
  <c r="BC30"/>
  <c r="AR30"/>
  <c r="AQ30"/>
  <c r="AM30"/>
  <c r="AB30"/>
  <c r="AA30"/>
  <c r="P30"/>
  <c r="U30" s="1"/>
  <c r="O30"/>
  <c r="AU30" s="1"/>
  <c r="BC29"/>
  <c r="AR29"/>
  <c r="AQ29"/>
  <c r="AM29"/>
  <c r="AB29"/>
  <c r="AA29"/>
  <c r="P29"/>
  <c r="U29" s="1"/>
  <c r="O29"/>
  <c r="AU29" s="1"/>
  <c r="BC28"/>
  <c r="AR28"/>
  <c r="AQ28"/>
  <c r="AM28"/>
  <c r="AB28"/>
  <c r="AA28"/>
  <c r="P28"/>
  <c r="U28" s="1"/>
  <c r="O28"/>
  <c r="AU28" s="1"/>
  <c r="BC27"/>
  <c r="AR27"/>
  <c r="AQ27"/>
  <c r="AM27"/>
  <c r="AB27"/>
  <c r="AA27"/>
  <c r="P27"/>
  <c r="U27" s="1"/>
  <c r="O27"/>
  <c r="AU27" s="1"/>
  <c r="BC26"/>
  <c r="AR26"/>
  <c r="AQ26"/>
  <c r="AM26"/>
  <c r="AB26"/>
  <c r="AA26"/>
  <c r="P26"/>
  <c r="U26" s="1"/>
  <c r="O26"/>
  <c r="AU26" s="1"/>
  <c r="BC25"/>
  <c r="AR25"/>
  <c r="AQ25"/>
  <c r="AM25"/>
  <c r="AB25"/>
  <c r="AA25"/>
  <c r="P25"/>
  <c r="U25" s="1"/>
  <c r="O25"/>
  <c r="AU25" s="1"/>
  <c r="BC24"/>
  <c r="AR24"/>
  <c r="AQ24"/>
  <c r="AM24"/>
  <c r="AB24"/>
  <c r="AA24"/>
  <c r="P24"/>
  <c r="O24"/>
  <c r="AU24" s="1"/>
  <c r="BC23"/>
  <c r="AR23"/>
  <c r="AQ23"/>
  <c r="AM23"/>
  <c r="AB23"/>
  <c r="AA23"/>
  <c r="P23"/>
  <c r="O23"/>
  <c r="AU23" s="1"/>
  <c r="BC22"/>
  <c r="AR22"/>
  <c r="AQ22"/>
  <c r="AM22"/>
  <c r="AB22"/>
  <c r="AA22"/>
  <c r="P22"/>
  <c r="U22" s="1"/>
  <c r="O22"/>
  <c r="AU22" s="1"/>
  <c r="BC21"/>
  <c r="AR21"/>
  <c r="AQ21"/>
  <c r="AM21"/>
  <c r="AB21"/>
  <c r="AA21"/>
  <c r="P21"/>
  <c r="U21" s="1"/>
  <c r="O21"/>
  <c r="AU21" s="1"/>
  <c r="BC20"/>
  <c r="AR20"/>
  <c r="AQ20"/>
  <c r="AM20"/>
  <c r="AB20"/>
  <c r="AA20"/>
  <c r="P20"/>
  <c r="U20" s="1"/>
  <c r="O20"/>
  <c r="AU20" s="1"/>
  <c r="BC19"/>
  <c r="AR19"/>
  <c r="AQ19"/>
  <c r="AM19"/>
  <c r="AB19"/>
  <c r="AA19"/>
  <c r="P19"/>
  <c r="O19"/>
  <c r="AU19" s="1"/>
  <c r="BC18"/>
  <c r="AR18"/>
  <c r="AQ18"/>
  <c r="AM18"/>
  <c r="AB18"/>
  <c r="AA18"/>
  <c r="P18"/>
  <c r="U18" s="1"/>
  <c r="O18"/>
  <c r="AU18" s="1"/>
  <c r="BC17"/>
  <c r="AR17"/>
  <c r="AQ17"/>
  <c r="AM17"/>
  <c r="AB17"/>
  <c r="AA17"/>
  <c r="P17"/>
  <c r="U17" s="1"/>
  <c r="O17"/>
  <c r="AU17" s="1"/>
  <c r="BC16"/>
  <c r="AR16"/>
  <c r="AQ16"/>
  <c r="AM16"/>
  <c r="AB16"/>
  <c r="AA16"/>
  <c r="P16"/>
  <c r="O16"/>
  <c r="AU16" s="1"/>
  <c r="BC15"/>
  <c r="AR15"/>
  <c r="AQ15"/>
  <c r="AM15"/>
  <c r="AB15"/>
  <c r="AA15"/>
  <c r="P15"/>
  <c r="U15" s="1"/>
  <c r="O15"/>
  <c r="AU15" s="1"/>
  <c r="BC14"/>
  <c r="AR14"/>
  <c r="AQ14"/>
  <c r="AM14"/>
  <c r="AB14"/>
  <c r="AA14"/>
  <c r="P14"/>
  <c r="U14" s="1"/>
  <c r="O14"/>
  <c r="AU14" s="1"/>
  <c r="BC13"/>
  <c r="AR13"/>
  <c r="AQ13"/>
  <c r="AM13"/>
  <c r="AB13"/>
  <c r="AA13"/>
  <c r="P13"/>
  <c r="U13" s="1"/>
  <c r="O13"/>
  <c r="AU13" s="1"/>
  <c r="BC12"/>
  <c r="AR12"/>
  <c r="AQ12"/>
  <c r="AM12"/>
  <c r="AB12"/>
  <c r="AA12"/>
  <c r="P12"/>
  <c r="U12" s="1"/>
  <c r="O12"/>
  <c r="AU12" s="1"/>
  <c r="BC11"/>
  <c r="AR11"/>
  <c r="AQ11"/>
  <c r="AM11"/>
  <c r="AB11"/>
  <c r="AA11"/>
  <c r="P11"/>
  <c r="O11"/>
  <c r="AU11" s="1"/>
  <c r="BC10"/>
  <c r="AR10"/>
  <c r="AQ10"/>
  <c r="AM10"/>
  <c r="AB10"/>
  <c r="AA10"/>
  <c r="P10"/>
  <c r="O10"/>
  <c r="AU10" s="1"/>
  <c r="BC9"/>
  <c r="AR9"/>
  <c r="AQ9"/>
  <c r="AM9"/>
  <c r="AB9"/>
  <c r="AA9"/>
  <c r="P9"/>
  <c r="U9" s="1"/>
  <c r="O9"/>
  <c r="AU9" s="1"/>
  <c r="BC8"/>
  <c r="AR8"/>
  <c r="AQ8"/>
  <c r="AM8"/>
  <c r="AB8"/>
  <c r="AA8"/>
  <c r="P8"/>
  <c r="U8" s="1"/>
  <c r="O8"/>
  <c r="AU8" s="1"/>
  <c r="BC7"/>
  <c r="AR7"/>
  <c r="AQ7"/>
  <c r="AM7"/>
  <c r="AB7"/>
  <c r="AA7"/>
  <c r="P7"/>
  <c r="U7" s="1"/>
  <c r="O7"/>
  <c r="AU7" s="1"/>
  <c r="BC6"/>
  <c r="AR6"/>
  <c r="AQ6"/>
  <c r="AM6"/>
  <c r="AB6"/>
  <c r="AA6"/>
  <c r="P6"/>
  <c r="U6" s="1"/>
  <c r="O6"/>
  <c r="AU6" s="1"/>
  <c r="BC5"/>
  <c r="AR5"/>
  <c r="AQ5"/>
  <c r="AM5"/>
  <c r="AB5"/>
  <c r="AA5"/>
  <c r="P5"/>
  <c r="U5" s="1"/>
  <c r="O5"/>
  <c r="AU5" s="1"/>
  <c r="BC4"/>
  <c r="AR4"/>
  <c r="AQ4"/>
  <c r="AM4"/>
  <c r="AB4"/>
  <c r="AA4"/>
  <c r="P4"/>
  <c r="U4" s="1"/>
  <c r="O4"/>
  <c r="AU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0" i="11"/>
  <c r="AU50"/>
  <c r="AR50"/>
  <c r="AQ50"/>
  <c r="AV50" s="1"/>
  <c r="AM50"/>
  <c r="AF50"/>
  <c r="AB50"/>
  <c r="AA50"/>
  <c r="AG50" s="1"/>
  <c r="U50"/>
  <c r="P50"/>
  <c r="O50"/>
  <c r="AW50" s="1"/>
  <c r="BC49"/>
  <c r="AU49"/>
  <c r="AR49"/>
  <c r="AQ49"/>
  <c r="AV49" s="1"/>
  <c r="AM49"/>
  <c r="AB49"/>
  <c r="AA49"/>
  <c r="U49"/>
  <c r="P49"/>
  <c r="O49"/>
  <c r="AW49" s="1"/>
  <c r="BC48"/>
  <c r="AU48"/>
  <c r="AR48"/>
  <c r="AQ48"/>
  <c r="AV48" s="1"/>
  <c r="AM48"/>
  <c r="AF48"/>
  <c r="AB48"/>
  <c r="AA48"/>
  <c r="AG48" s="1"/>
  <c r="U48"/>
  <c r="P48"/>
  <c r="O48"/>
  <c r="AW48" s="1"/>
  <c r="BC47"/>
  <c r="AU47"/>
  <c r="AR47"/>
  <c r="AQ47"/>
  <c r="AV47" s="1"/>
  <c r="AM47"/>
  <c r="AB47"/>
  <c r="AA47"/>
  <c r="U47"/>
  <c r="P47"/>
  <c r="O47"/>
  <c r="AW47" s="1"/>
  <c r="BC46"/>
  <c r="AU46"/>
  <c r="AR46"/>
  <c r="AQ46"/>
  <c r="AV46" s="1"/>
  <c r="AM46"/>
  <c r="AF46"/>
  <c r="AB46"/>
  <c r="AA46"/>
  <c r="AG46" s="1"/>
  <c r="U46"/>
  <c r="P46"/>
  <c r="O46"/>
  <c r="AW46" s="1"/>
  <c r="BC45"/>
  <c r="AU45"/>
  <c r="AR45"/>
  <c r="AQ45"/>
  <c r="AV45" s="1"/>
  <c r="AM45"/>
  <c r="AB45"/>
  <c r="AA45"/>
  <c r="U45"/>
  <c r="P45"/>
  <c r="O45"/>
  <c r="AW45" s="1"/>
  <c r="AU44"/>
  <c r="AR44"/>
  <c r="AQ44"/>
  <c r="AV44" s="1"/>
  <c r="AF44"/>
  <c r="AB44"/>
  <c r="AA44"/>
  <c r="AG44" s="1"/>
  <c r="U44"/>
  <c r="P44"/>
  <c r="O44"/>
  <c r="AW44" s="1"/>
  <c r="BC43"/>
  <c r="AU43"/>
  <c r="AR43"/>
  <c r="AQ43"/>
  <c r="AV43" s="1"/>
  <c r="AM43"/>
  <c r="AB43"/>
  <c r="AA43"/>
  <c r="AG43" s="1"/>
  <c r="U43"/>
  <c r="P43"/>
  <c r="O43"/>
  <c r="AW43" s="1"/>
  <c r="AU42"/>
  <c r="AR42"/>
  <c r="AQ42"/>
  <c r="AV42" s="1"/>
  <c r="AB42"/>
  <c r="AA42"/>
  <c r="U42"/>
  <c r="P42"/>
  <c r="O42"/>
  <c r="AW42" s="1"/>
  <c r="BC41"/>
  <c r="AU41"/>
  <c r="AR41"/>
  <c r="AQ41"/>
  <c r="AV41" s="1"/>
  <c r="AM41"/>
  <c r="AF41"/>
  <c r="AB41"/>
  <c r="AA41"/>
  <c r="AG41" s="1"/>
  <c r="U41"/>
  <c r="P41"/>
  <c r="O41"/>
  <c r="AW41" s="1"/>
  <c r="BC40"/>
  <c r="AU40"/>
  <c r="AR40"/>
  <c r="AQ40"/>
  <c r="AV40" s="1"/>
  <c r="AM40"/>
  <c r="AB40"/>
  <c r="AA40"/>
  <c r="U40"/>
  <c r="P40"/>
  <c r="O40"/>
  <c r="AW40" s="1"/>
  <c r="BC39"/>
  <c r="AU39"/>
  <c r="AR39"/>
  <c r="AQ39"/>
  <c r="AV39" s="1"/>
  <c r="AM39"/>
  <c r="AF39"/>
  <c r="AB39"/>
  <c r="AA39"/>
  <c r="AG39" s="1"/>
  <c r="U39"/>
  <c r="P39"/>
  <c r="O39"/>
  <c r="AW39" s="1"/>
  <c r="BC38"/>
  <c r="AU38"/>
  <c r="AR38"/>
  <c r="AQ38"/>
  <c r="AV38" s="1"/>
  <c r="AM38"/>
  <c r="AB38"/>
  <c r="AA38"/>
  <c r="U38"/>
  <c r="P38"/>
  <c r="O38"/>
  <c r="AW38" s="1"/>
  <c r="BC37"/>
  <c r="AU37"/>
  <c r="AR37"/>
  <c r="AQ37"/>
  <c r="AV37" s="1"/>
  <c r="AM37"/>
  <c r="AF37"/>
  <c r="AB37"/>
  <c r="AA37"/>
  <c r="AG37" s="1"/>
  <c r="U37"/>
  <c r="P37"/>
  <c r="O37"/>
  <c r="AW37" s="1"/>
  <c r="AU36"/>
  <c r="AR36"/>
  <c r="AQ36"/>
  <c r="AV36" s="1"/>
  <c r="AB36"/>
  <c r="AA36"/>
  <c r="AG36" s="1"/>
  <c r="U36"/>
  <c r="P36"/>
  <c r="O36"/>
  <c r="AW36" s="1"/>
  <c r="BC35"/>
  <c r="AU35"/>
  <c r="AR35"/>
  <c r="AQ35"/>
  <c r="AV35" s="1"/>
  <c r="AM35"/>
  <c r="AF35"/>
  <c r="AB35"/>
  <c r="AA35"/>
  <c r="AG35" s="1"/>
  <c r="U35"/>
  <c r="P35"/>
  <c r="O35"/>
  <c r="AW35" s="1"/>
  <c r="BC34"/>
  <c r="AU34"/>
  <c r="AR34"/>
  <c r="AQ34"/>
  <c r="AV34" s="1"/>
  <c r="AM34"/>
  <c r="AB34"/>
  <c r="AA34"/>
  <c r="AG34" s="1"/>
  <c r="U34"/>
  <c r="P34"/>
  <c r="O34"/>
  <c r="AW34" s="1"/>
  <c r="AU33"/>
  <c r="AR33"/>
  <c r="AQ33"/>
  <c r="AV33" s="1"/>
  <c r="AB33"/>
  <c r="AA33"/>
  <c r="U33"/>
  <c r="P33"/>
  <c r="O33"/>
  <c r="AW33" s="1"/>
  <c r="BC32"/>
  <c r="AU32"/>
  <c r="AR32"/>
  <c r="AQ32"/>
  <c r="AV32" s="1"/>
  <c r="AM32"/>
  <c r="AF32"/>
  <c r="AB32"/>
  <c r="AA32"/>
  <c r="AG32" s="1"/>
  <c r="U32"/>
  <c r="P32"/>
  <c r="O32"/>
  <c r="AW32" s="1"/>
  <c r="BC31"/>
  <c r="AU31"/>
  <c r="AR31"/>
  <c r="AQ31"/>
  <c r="AV31" s="1"/>
  <c r="AM31"/>
  <c r="AB31"/>
  <c r="AA31"/>
  <c r="U31"/>
  <c r="P31"/>
  <c r="O31"/>
  <c r="AW31" s="1"/>
  <c r="BC30"/>
  <c r="AU30"/>
  <c r="AR30"/>
  <c r="AQ30"/>
  <c r="AV30" s="1"/>
  <c r="AM30"/>
  <c r="AF30"/>
  <c r="AB30"/>
  <c r="AA30"/>
  <c r="AG30" s="1"/>
  <c r="U30"/>
  <c r="P30"/>
  <c r="O30"/>
  <c r="AW30" s="1"/>
  <c r="BC29"/>
  <c r="AU29"/>
  <c r="AR29"/>
  <c r="AQ29"/>
  <c r="AV29" s="1"/>
  <c r="AM29"/>
  <c r="AB29"/>
  <c r="AA29"/>
  <c r="U29"/>
  <c r="P29"/>
  <c r="O29"/>
  <c r="AW29" s="1"/>
  <c r="BC28"/>
  <c r="AU28"/>
  <c r="AR28"/>
  <c r="AQ28"/>
  <c r="AV28" s="1"/>
  <c r="AM28"/>
  <c r="AF28"/>
  <c r="AB28"/>
  <c r="AA28"/>
  <c r="AG28" s="1"/>
  <c r="U28"/>
  <c r="P28"/>
  <c r="O28"/>
  <c r="AW28" s="1"/>
  <c r="AU27"/>
  <c r="AR27"/>
  <c r="AQ27"/>
  <c r="AV27" s="1"/>
  <c r="AB27"/>
  <c r="AA27"/>
  <c r="AG27" s="1"/>
  <c r="U27"/>
  <c r="P27"/>
  <c r="O27"/>
  <c r="AW27" s="1"/>
  <c r="AU26"/>
  <c r="AR26"/>
  <c r="AQ26"/>
  <c r="AV26" s="1"/>
  <c r="AB26"/>
  <c r="AA26"/>
  <c r="U26"/>
  <c r="P26"/>
  <c r="O26"/>
  <c r="AW26" s="1"/>
  <c r="BC25"/>
  <c r="AU25"/>
  <c r="AR25"/>
  <c r="AQ25"/>
  <c r="AV25" s="1"/>
  <c r="AM25"/>
  <c r="AF25"/>
  <c r="AB25"/>
  <c r="AA25"/>
  <c r="AG25" s="1"/>
  <c r="U25"/>
  <c r="P25"/>
  <c r="O25"/>
  <c r="AW25" s="1"/>
  <c r="BC24"/>
  <c r="AU24"/>
  <c r="AR24"/>
  <c r="AQ24"/>
  <c r="AV24" s="1"/>
  <c r="AM24"/>
  <c r="AB24"/>
  <c r="AA24"/>
  <c r="U24"/>
  <c r="P24"/>
  <c r="O24"/>
  <c r="AW24" s="1"/>
  <c r="BC23"/>
  <c r="AU23"/>
  <c r="AR23"/>
  <c r="AQ23"/>
  <c r="AV23" s="1"/>
  <c r="AM23"/>
  <c r="AF23"/>
  <c r="AB23"/>
  <c r="AA23"/>
  <c r="AG23" s="1"/>
  <c r="U23"/>
  <c r="P23"/>
  <c r="O23"/>
  <c r="AW23" s="1"/>
  <c r="BC22"/>
  <c r="AU22"/>
  <c r="AR22"/>
  <c r="AQ22"/>
  <c r="AV22" s="1"/>
  <c r="AM22"/>
  <c r="AB22"/>
  <c r="AA22"/>
  <c r="U22"/>
  <c r="P22"/>
  <c r="O22"/>
  <c r="AW22" s="1"/>
  <c r="BC21"/>
  <c r="AU21"/>
  <c r="AR21"/>
  <c r="AQ21"/>
  <c r="AV21" s="1"/>
  <c r="AM21"/>
  <c r="AF21"/>
  <c r="AB21"/>
  <c r="AA21"/>
  <c r="AG21" s="1"/>
  <c r="U21"/>
  <c r="P21"/>
  <c r="O21"/>
  <c r="AW21" s="1"/>
  <c r="BC20"/>
  <c r="AU20"/>
  <c r="AR20"/>
  <c r="AQ20"/>
  <c r="AV20" s="1"/>
  <c r="AM20"/>
  <c r="AB20"/>
  <c r="AA20"/>
  <c r="U20"/>
  <c r="P20"/>
  <c r="O20"/>
  <c r="AW20" s="1"/>
  <c r="BC19"/>
  <c r="AU19"/>
  <c r="AR19"/>
  <c r="AQ19"/>
  <c r="AV19" s="1"/>
  <c r="AM19"/>
  <c r="AF19"/>
  <c r="AB19"/>
  <c r="AA19"/>
  <c r="AG19" s="1"/>
  <c r="U19"/>
  <c r="P19"/>
  <c r="O19"/>
  <c r="AW19" s="1"/>
  <c r="AU18"/>
  <c r="AR18"/>
  <c r="AQ18"/>
  <c r="AV18" s="1"/>
  <c r="AB18"/>
  <c r="AA18"/>
  <c r="AG18" s="1"/>
  <c r="U18"/>
  <c r="P18"/>
  <c r="O18"/>
  <c r="AW18" s="1"/>
  <c r="BC17"/>
  <c r="AU17"/>
  <c r="AR17"/>
  <c r="AQ17"/>
  <c r="AV17" s="1"/>
  <c r="AM17"/>
  <c r="AF17"/>
  <c r="AB17"/>
  <c r="AA17"/>
  <c r="AG17" s="1"/>
  <c r="U17"/>
  <c r="P17"/>
  <c r="O17"/>
  <c r="AW17" s="1"/>
  <c r="BC16"/>
  <c r="AU16"/>
  <c r="AR16"/>
  <c r="AQ16"/>
  <c r="AV16" s="1"/>
  <c r="AM16"/>
  <c r="AB16"/>
  <c r="AA16"/>
  <c r="AG16" s="1"/>
  <c r="U16"/>
  <c r="P16"/>
  <c r="O16"/>
  <c r="AW16" s="1"/>
  <c r="AU15"/>
  <c r="AR15"/>
  <c r="AQ15"/>
  <c r="AV15" s="1"/>
  <c r="AB15"/>
  <c r="AA15"/>
  <c r="U15"/>
  <c r="P15"/>
  <c r="O15"/>
  <c r="AW15" s="1"/>
  <c r="BC14"/>
  <c r="AU14"/>
  <c r="AR14"/>
  <c r="AQ14"/>
  <c r="AV14" s="1"/>
  <c r="AM14"/>
  <c r="AF14"/>
  <c r="AB14"/>
  <c r="AA14"/>
  <c r="AG14" s="1"/>
  <c r="U14"/>
  <c r="P14"/>
  <c r="O14"/>
  <c r="AW14" s="1"/>
  <c r="BC13"/>
  <c r="AV13"/>
  <c r="AU13"/>
  <c r="AR13"/>
  <c r="AQ13"/>
  <c r="AM13"/>
  <c r="AG13"/>
  <c r="AF13"/>
  <c r="AB13"/>
  <c r="AA13"/>
  <c r="U13"/>
  <c r="P13"/>
  <c r="O13"/>
  <c r="AW13" s="1"/>
  <c r="BC12"/>
  <c r="AV12"/>
  <c r="AU12"/>
  <c r="AR12"/>
  <c r="AQ12"/>
  <c r="AM12"/>
  <c r="AG12"/>
  <c r="AF12"/>
  <c r="AB12"/>
  <c r="AA12"/>
  <c r="U12"/>
  <c r="P12"/>
  <c r="O12"/>
  <c r="AW12" s="1"/>
  <c r="AV11"/>
  <c r="AU11"/>
  <c r="AR11"/>
  <c r="AQ11"/>
  <c r="AB11"/>
  <c r="AA11"/>
  <c r="U11"/>
  <c r="P11"/>
  <c r="O11"/>
  <c r="BC10"/>
  <c r="AV10"/>
  <c r="AU10"/>
  <c r="AR10"/>
  <c r="AQ10"/>
  <c r="AM10"/>
  <c r="AB10"/>
  <c r="AA10"/>
  <c r="U10"/>
  <c r="P10"/>
  <c r="O10"/>
  <c r="AW10" s="1"/>
  <c r="BC9"/>
  <c r="AV9"/>
  <c r="AU9"/>
  <c r="AR9"/>
  <c r="AQ9"/>
  <c r="AM9"/>
  <c r="AB9"/>
  <c r="AA9"/>
  <c r="U9"/>
  <c r="P9"/>
  <c r="O9"/>
  <c r="AW9" s="1"/>
  <c r="BC8"/>
  <c r="AV8"/>
  <c r="AU8"/>
  <c r="AR8"/>
  <c r="AQ8"/>
  <c r="AM8"/>
  <c r="AB8"/>
  <c r="AA8"/>
  <c r="U8"/>
  <c r="P8"/>
  <c r="O8"/>
  <c r="AW8" s="1"/>
  <c r="AV7"/>
  <c r="AU7"/>
  <c r="AR7"/>
  <c r="AQ7"/>
  <c r="AB7"/>
  <c r="AA7"/>
  <c r="U7"/>
  <c r="V7" s="1"/>
  <c r="P7"/>
  <c r="O7"/>
  <c r="AW7" s="1"/>
  <c r="BC6"/>
  <c r="AR6"/>
  <c r="AQ6"/>
  <c r="AM6"/>
  <c r="AB6"/>
  <c r="AA6"/>
  <c r="U6"/>
  <c r="V6" s="1"/>
  <c r="P6"/>
  <c r="O6"/>
  <c r="AW6" s="1"/>
  <c r="AR5"/>
  <c r="AQ5"/>
  <c r="AG5"/>
  <c r="AB5"/>
  <c r="AA5"/>
  <c r="AF5" s="1"/>
  <c r="V5"/>
  <c r="U5"/>
  <c r="P5"/>
  <c r="O5"/>
  <c r="BC4"/>
  <c r="AV4"/>
  <c r="AR4"/>
  <c r="AQ4"/>
  <c r="AU4" s="1"/>
  <c r="AM4"/>
  <c r="AG4"/>
  <c r="AB4"/>
  <c r="AA4"/>
  <c r="AF4" s="1"/>
  <c r="V4"/>
  <c r="U4"/>
  <c r="P4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60" i="10"/>
  <c r="AR60"/>
  <c r="AQ60"/>
  <c r="AM60"/>
  <c r="AB60"/>
  <c r="AA60"/>
  <c r="P60"/>
  <c r="O60"/>
  <c r="BC59"/>
  <c r="AR59"/>
  <c r="AQ59"/>
  <c r="AM59"/>
  <c r="AB59"/>
  <c r="AA59"/>
  <c r="P59"/>
  <c r="O59"/>
  <c r="AR58"/>
  <c r="AQ58"/>
  <c r="AB58"/>
  <c r="AA58"/>
  <c r="P58"/>
  <c r="O58"/>
  <c r="AW57"/>
  <c r="AR57"/>
  <c r="AQ57"/>
  <c r="AE57"/>
  <c r="AB57"/>
  <c r="AA57"/>
  <c r="P57"/>
  <c r="O57"/>
  <c r="AW56"/>
  <c r="AT56"/>
  <c r="AR56"/>
  <c r="AQ56"/>
  <c r="AE56"/>
  <c r="AD56"/>
  <c r="AB56"/>
  <c r="AA56"/>
  <c r="P56"/>
  <c r="O56"/>
  <c r="BC55"/>
  <c r="AW55"/>
  <c r="AT55"/>
  <c r="AR55"/>
  <c r="AQ55"/>
  <c r="AM55"/>
  <c r="AE55"/>
  <c r="AD55"/>
  <c r="AB55"/>
  <c r="AA55"/>
  <c r="W55"/>
  <c r="X55" s="1"/>
  <c r="P55"/>
  <c r="U55" s="1"/>
  <c r="V55" s="1"/>
  <c r="O55"/>
  <c r="AR54"/>
  <c r="AQ54"/>
  <c r="AB54"/>
  <c r="AA54"/>
  <c r="P54"/>
  <c r="O54"/>
  <c r="AR53"/>
  <c r="AQ53"/>
  <c r="AB53"/>
  <c r="AA53"/>
  <c r="P53"/>
  <c r="O53"/>
  <c r="BC52"/>
  <c r="AR52"/>
  <c r="AQ52"/>
  <c r="AM52"/>
  <c r="AB52"/>
  <c r="AA52"/>
  <c r="P52"/>
  <c r="O52"/>
  <c r="BC51"/>
  <c r="AR51"/>
  <c r="AQ51"/>
  <c r="AM51"/>
  <c r="AB51"/>
  <c r="AA51"/>
  <c r="P51"/>
  <c r="O51"/>
  <c r="AW50"/>
  <c r="AR50"/>
  <c r="AQ50"/>
  <c r="AE50"/>
  <c r="AB50"/>
  <c r="AA50"/>
  <c r="P50"/>
  <c r="O50"/>
  <c r="AW49"/>
  <c r="AT49"/>
  <c r="AR49"/>
  <c r="AQ49"/>
  <c r="AE49"/>
  <c r="AD49"/>
  <c r="AB49"/>
  <c r="AA49"/>
  <c r="W49"/>
  <c r="X49" s="1"/>
  <c r="P49"/>
  <c r="U49" s="1"/>
  <c r="V49" s="1"/>
  <c r="O49"/>
  <c r="AR48"/>
  <c r="AQ48"/>
  <c r="AG48"/>
  <c r="AB48"/>
  <c r="AA48"/>
  <c r="P48"/>
  <c r="O48"/>
  <c r="AR47"/>
  <c r="AQ47"/>
  <c r="AV47" s="1"/>
  <c r="AG47"/>
  <c r="AB47"/>
  <c r="AA47"/>
  <c r="P47"/>
  <c r="O47"/>
  <c r="BC46"/>
  <c r="AV46"/>
  <c r="AR46"/>
  <c r="AQ46"/>
  <c r="AM46"/>
  <c r="AG46"/>
  <c r="AB46"/>
  <c r="AA46"/>
  <c r="P46"/>
  <c r="O46"/>
  <c r="AX46" s="1"/>
  <c r="AV45"/>
  <c r="AR45"/>
  <c r="AQ45"/>
  <c r="AG45"/>
  <c r="AB45"/>
  <c r="AA45"/>
  <c r="P45"/>
  <c r="O45"/>
  <c r="AV44"/>
  <c r="AR44"/>
  <c r="AQ44"/>
  <c r="AG44"/>
  <c r="AB44"/>
  <c r="AA44"/>
  <c r="P44"/>
  <c r="O44"/>
  <c r="BC43"/>
  <c r="AR43"/>
  <c r="AQ43"/>
  <c r="AV43" s="1"/>
  <c r="AM43"/>
  <c r="AG43"/>
  <c r="AB43"/>
  <c r="AA43"/>
  <c r="P43"/>
  <c r="O43"/>
  <c r="AX43" s="1"/>
  <c r="AR42"/>
  <c r="AQ42"/>
  <c r="AV42" s="1"/>
  <c r="AG42"/>
  <c r="AB42"/>
  <c r="AA42"/>
  <c r="P42"/>
  <c r="O42"/>
  <c r="AR41"/>
  <c r="AQ41"/>
  <c r="AV41" s="1"/>
  <c r="AG41"/>
  <c r="AB41"/>
  <c r="AA41"/>
  <c r="P41"/>
  <c r="O41"/>
  <c r="BC40"/>
  <c r="AV40"/>
  <c r="AR40"/>
  <c r="AQ40"/>
  <c r="AM40"/>
  <c r="AG40"/>
  <c r="AB40"/>
  <c r="AA40"/>
  <c r="P40"/>
  <c r="U40" s="1"/>
  <c r="O40"/>
  <c r="AX40" s="1"/>
  <c r="BC39"/>
  <c r="AR39"/>
  <c r="AQ39"/>
  <c r="AV39" s="1"/>
  <c r="AM39"/>
  <c r="AG39"/>
  <c r="AB39"/>
  <c r="AA39"/>
  <c r="P39"/>
  <c r="U39" s="1"/>
  <c r="V39" s="1"/>
  <c r="O39"/>
  <c r="AX39" s="1"/>
  <c r="AR38"/>
  <c r="AQ38"/>
  <c r="AV38" s="1"/>
  <c r="AG38"/>
  <c r="AB38"/>
  <c r="AA38"/>
  <c r="P38"/>
  <c r="U38" s="1"/>
  <c r="V38" s="1"/>
  <c r="O38"/>
  <c r="AR37"/>
  <c r="AQ37"/>
  <c r="AV37" s="1"/>
  <c r="AG37"/>
  <c r="AB37"/>
  <c r="AA37"/>
  <c r="P37"/>
  <c r="O37"/>
  <c r="BC36"/>
  <c r="AV36"/>
  <c r="AR36"/>
  <c r="AQ36"/>
  <c r="AM36"/>
  <c r="AG36"/>
  <c r="AB36"/>
  <c r="AA36"/>
  <c r="P36"/>
  <c r="U36" s="1"/>
  <c r="O36"/>
  <c r="AX36" s="1"/>
  <c r="BC35"/>
  <c r="AR35"/>
  <c r="AQ35"/>
  <c r="AV35" s="1"/>
  <c r="AM35"/>
  <c r="AB35"/>
  <c r="AG35" s="1"/>
  <c r="AA35"/>
  <c r="P35"/>
  <c r="U35" s="1"/>
  <c r="V35" s="1"/>
  <c r="O35"/>
  <c r="AX35" s="1"/>
  <c r="AR34"/>
  <c r="AQ34"/>
  <c r="AV34" s="1"/>
  <c r="AB34"/>
  <c r="AG34" s="1"/>
  <c r="AA34"/>
  <c r="P34"/>
  <c r="O34"/>
  <c r="AX34" s="1"/>
  <c r="AR33"/>
  <c r="AQ33"/>
  <c r="AV33" s="1"/>
  <c r="AB33"/>
  <c r="AG33" s="1"/>
  <c r="AA33"/>
  <c r="P33"/>
  <c r="O33"/>
  <c r="AX33" s="1"/>
  <c r="BC32"/>
  <c r="AV32"/>
  <c r="AR32"/>
  <c r="AQ32"/>
  <c r="AM32"/>
  <c r="AG32"/>
  <c r="AB32"/>
  <c r="AA32"/>
  <c r="P32"/>
  <c r="O32"/>
  <c r="AX32" s="1"/>
  <c r="AV31"/>
  <c r="AR31"/>
  <c r="AQ31"/>
  <c r="AG31"/>
  <c r="AB31"/>
  <c r="AA31"/>
  <c r="V31"/>
  <c r="P31"/>
  <c r="U31" s="1"/>
  <c r="O31"/>
  <c r="AX31" s="1"/>
  <c r="AV30"/>
  <c r="AR30"/>
  <c r="AQ30"/>
  <c r="AG30"/>
  <c r="AB30"/>
  <c r="AA30"/>
  <c r="P30"/>
  <c r="O30"/>
  <c r="AX30" s="1"/>
  <c r="BC29"/>
  <c r="AR29"/>
  <c r="AQ29"/>
  <c r="AV29" s="1"/>
  <c r="AM29"/>
  <c r="AB29"/>
  <c r="AG29" s="1"/>
  <c r="AA29"/>
  <c r="P29"/>
  <c r="O29"/>
  <c r="AX29" s="1"/>
  <c r="BC28"/>
  <c r="AV28"/>
  <c r="AR28"/>
  <c r="AQ28"/>
  <c r="AM28"/>
  <c r="AG28"/>
  <c r="AB28"/>
  <c r="AA28"/>
  <c r="P28"/>
  <c r="O28"/>
  <c r="AX28" s="1"/>
  <c r="AV27"/>
  <c r="AR27"/>
  <c r="AQ27"/>
  <c r="AG27"/>
  <c r="AB27"/>
  <c r="AA27"/>
  <c r="V27"/>
  <c r="P27"/>
  <c r="U27" s="1"/>
  <c r="O27"/>
  <c r="AX27" s="1"/>
  <c r="AV26"/>
  <c r="AR26"/>
  <c r="AQ26"/>
  <c r="AG26"/>
  <c r="AB26"/>
  <c r="AA26"/>
  <c r="P26"/>
  <c r="U26" s="1"/>
  <c r="O26"/>
  <c r="AX26" s="1"/>
  <c r="AV25"/>
  <c r="AR25"/>
  <c r="AQ25"/>
  <c r="AG25"/>
  <c r="AB25"/>
  <c r="AA25"/>
  <c r="P25"/>
  <c r="O25"/>
  <c r="AX25" s="1"/>
  <c r="AV24"/>
  <c r="AR24"/>
  <c r="AQ24"/>
  <c r="AG24"/>
  <c r="AB24"/>
  <c r="AA24"/>
  <c r="P24"/>
  <c r="U24" s="1"/>
  <c r="O24"/>
  <c r="AX24" s="1"/>
  <c r="BC23"/>
  <c r="AV23"/>
  <c r="AR23"/>
  <c r="AQ23"/>
  <c r="AM23"/>
  <c r="AB23"/>
  <c r="AG23" s="1"/>
  <c r="AA23"/>
  <c r="V23"/>
  <c r="P23"/>
  <c r="U23" s="1"/>
  <c r="O23"/>
  <c r="AX23" s="1"/>
  <c r="AR22"/>
  <c r="AQ22"/>
  <c r="AV22" s="1"/>
  <c r="AB22"/>
  <c r="AG22" s="1"/>
  <c r="AA22"/>
  <c r="V22"/>
  <c r="P22"/>
  <c r="U22" s="1"/>
  <c r="O22"/>
  <c r="AR21"/>
  <c r="AQ21"/>
  <c r="AV21" s="1"/>
  <c r="AB21"/>
  <c r="AG21" s="1"/>
  <c r="AA21"/>
  <c r="P21"/>
  <c r="O21"/>
  <c r="BC20"/>
  <c r="AR20"/>
  <c r="AQ20"/>
  <c r="AV20" s="1"/>
  <c r="AM20"/>
  <c r="AG20"/>
  <c r="AB20"/>
  <c r="AA20"/>
  <c r="P20"/>
  <c r="U20" s="1"/>
  <c r="O20"/>
  <c r="AX20" s="1"/>
  <c r="BA20" s="1"/>
  <c r="BB20" s="1"/>
  <c r="BD20" s="1"/>
  <c r="BC19"/>
  <c r="AV19"/>
  <c r="AR19"/>
  <c r="AQ19"/>
  <c r="AM19"/>
  <c r="AB19"/>
  <c r="AG19" s="1"/>
  <c r="AA19"/>
  <c r="P19"/>
  <c r="O19"/>
  <c r="AX19" s="1"/>
  <c r="BA19" s="1"/>
  <c r="BB19" s="1"/>
  <c r="BD19" s="1"/>
  <c r="AR18"/>
  <c r="AQ18"/>
  <c r="AV18" s="1"/>
  <c r="AB18"/>
  <c r="AG18" s="1"/>
  <c r="AA18"/>
  <c r="P18"/>
  <c r="O18"/>
  <c r="AR17"/>
  <c r="AQ17"/>
  <c r="AV17" s="1"/>
  <c r="AB17"/>
  <c r="AG17" s="1"/>
  <c r="AA17"/>
  <c r="V17"/>
  <c r="P17"/>
  <c r="U17" s="1"/>
  <c r="O17"/>
  <c r="AR16"/>
  <c r="AQ16"/>
  <c r="AV16" s="1"/>
  <c r="AB16"/>
  <c r="AG16" s="1"/>
  <c r="AA16"/>
  <c r="P16"/>
  <c r="O16"/>
  <c r="AR15"/>
  <c r="AQ15"/>
  <c r="AV15" s="1"/>
  <c r="AB15"/>
  <c r="AG15" s="1"/>
  <c r="AA15"/>
  <c r="V15"/>
  <c r="P15"/>
  <c r="U15" s="1"/>
  <c r="O15"/>
  <c r="AX15" s="1"/>
  <c r="AR14"/>
  <c r="AQ14"/>
  <c r="AV14" s="1"/>
  <c r="AB14"/>
  <c r="AG14" s="1"/>
  <c r="AA14"/>
  <c r="V14"/>
  <c r="P14"/>
  <c r="U14" s="1"/>
  <c r="O14"/>
  <c r="AX14" s="1"/>
  <c r="BC13"/>
  <c r="AV13"/>
  <c r="AR13"/>
  <c r="AQ13"/>
  <c r="AM13"/>
  <c r="AB13"/>
  <c r="AG13" s="1"/>
  <c r="AA13"/>
  <c r="P13"/>
  <c r="O13"/>
  <c r="AX13" s="1"/>
  <c r="AV12"/>
  <c r="AR12"/>
  <c r="AQ12"/>
  <c r="AB12"/>
  <c r="AG12" s="1"/>
  <c r="AA12"/>
  <c r="P12"/>
  <c r="O12"/>
  <c r="AX12" s="1"/>
  <c r="AV11"/>
  <c r="AR11"/>
  <c r="AQ11"/>
  <c r="AB11"/>
  <c r="AG11" s="1"/>
  <c r="AA11"/>
  <c r="P11"/>
  <c r="O11"/>
  <c r="AX11" s="1"/>
  <c r="AV10"/>
  <c r="AR10"/>
  <c r="AQ10"/>
  <c r="AB10"/>
  <c r="AG10" s="1"/>
  <c r="AA10"/>
  <c r="P10"/>
  <c r="O10"/>
  <c r="AX10" s="1"/>
  <c r="BA10" s="1"/>
  <c r="BB10" s="1"/>
  <c r="BC10" s="1"/>
  <c r="AV9"/>
  <c r="AR9"/>
  <c r="AQ9"/>
  <c r="AB9"/>
  <c r="AG9" s="1"/>
  <c r="AA9"/>
  <c r="P9"/>
  <c r="O9"/>
  <c r="AX9" s="1"/>
  <c r="AV8"/>
  <c r="AR8"/>
  <c r="AQ8"/>
  <c r="AB8"/>
  <c r="AG8" s="1"/>
  <c r="AA8"/>
  <c r="P8"/>
  <c r="O8"/>
  <c r="AX8" s="1"/>
  <c r="AV7"/>
  <c r="AR7"/>
  <c r="AQ7"/>
  <c r="AB7"/>
  <c r="AG7" s="1"/>
  <c r="AA7"/>
  <c r="V7"/>
  <c r="P7"/>
  <c r="U7" s="1"/>
  <c r="O7"/>
  <c r="AX7" s="1"/>
  <c r="AV6"/>
  <c r="AR6"/>
  <c r="AQ6"/>
  <c r="AB6"/>
  <c r="AG6" s="1"/>
  <c r="AA6"/>
  <c r="P6"/>
  <c r="O6"/>
  <c r="AX6" s="1"/>
  <c r="BA6" s="1"/>
  <c r="BB6" s="1"/>
  <c r="BC6" s="1"/>
  <c r="AV5"/>
  <c r="AR5"/>
  <c r="AQ5"/>
  <c r="AB5"/>
  <c r="AG5" s="1"/>
  <c r="AA5"/>
  <c r="P5"/>
  <c r="O5"/>
  <c r="AX5" s="1"/>
  <c r="BA5" s="1"/>
  <c r="BB5" s="1"/>
  <c r="BC5" s="1"/>
  <c r="AV4"/>
  <c r="AR4"/>
  <c r="AQ4"/>
  <c r="AB4"/>
  <c r="AG4" s="1"/>
  <c r="AA4"/>
  <c r="P4"/>
  <c r="O4"/>
  <c r="AX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3" i="7"/>
  <c r="AU53"/>
  <c r="AR53"/>
  <c r="AQ53"/>
  <c r="AM53"/>
  <c r="AF53"/>
  <c r="AB53"/>
  <c r="AA53"/>
  <c r="AE53" s="1"/>
  <c r="P53"/>
  <c r="AT53" s="1"/>
  <c r="O53"/>
  <c r="AU52"/>
  <c r="AR52"/>
  <c r="AQ52"/>
  <c r="AF52"/>
  <c r="AB52"/>
  <c r="AA52"/>
  <c r="AE52" s="1"/>
  <c r="P52"/>
  <c r="AT52" s="1"/>
  <c r="O52"/>
  <c r="BC51"/>
  <c r="AU51"/>
  <c r="AR51"/>
  <c r="AQ51"/>
  <c r="AM51"/>
  <c r="AF51"/>
  <c r="AB51"/>
  <c r="AA51"/>
  <c r="AE51" s="1"/>
  <c r="P51"/>
  <c r="AT51" s="1"/>
  <c r="O51"/>
  <c r="BC50"/>
  <c r="AU50"/>
  <c r="AR50"/>
  <c r="AQ50"/>
  <c r="AM50"/>
  <c r="AF50"/>
  <c r="AB50"/>
  <c r="AA50"/>
  <c r="AE50" s="1"/>
  <c r="P50"/>
  <c r="AT50" s="1"/>
  <c r="O50"/>
  <c r="BC49"/>
  <c r="AU49"/>
  <c r="AR49"/>
  <c r="AQ49"/>
  <c r="AM49"/>
  <c r="AF49"/>
  <c r="AB49"/>
  <c r="AA49"/>
  <c r="AE49" s="1"/>
  <c r="P49"/>
  <c r="AT49" s="1"/>
  <c r="O49"/>
  <c r="BC48"/>
  <c r="AU48"/>
  <c r="AR48"/>
  <c r="AQ48"/>
  <c r="AM48"/>
  <c r="AF48"/>
  <c r="AB48"/>
  <c r="AA48"/>
  <c r="AE48" s="1"/>
  <c r="P48"/>
  <c r="AT48" s="1"/>
  <c r="O48"/>
  <c r="BC47"/>
  <c r="AU47"/>
  <c r="AR47"/>
  <c r="AQ47"/>
  <c r="AM47"/>
  <c r="AF47"/>
  <c r="AB47"/>
  <c r="AA47"/>
  <c r="AE47" s="1"/>
  <c r="P47"/>
  <c r="AT47" s="1"/>
  <c r="O47"/>
  <c r="BC46"/>
  <c r="AU46"/>
  <c r="AR46"/>
  <c r="AQ46"/>
  <c r="AM46"/>
  <c r="AF46"/>
  <c r="AB46"/>
  <c r="AA46"/>
  <c r="AE46" s="1"/>
  <c r="P46"/>
  <c r="AT46" s="1"/>
  <c r="O46"/>
  <c r="BC45"/>
  <c r="AU45"/>
  <c r="AR45"/>
  <c r="AQ45"/>
  <c r="AM45"/>
  <c r="AF45"/>
  <c r="AB45"/>
  <c r="AA45"/>
  <c r="AE45" s="1"/>
  <c r="P45"/>
  <c r="AT45" s="1"/>
  <c r="O45"/>
  <c r="BC44"/>
  <c r="AU44"/>
  <c r="AR44"/>
  <c r="AQ44"/>
  <c r="AM44"/>
  <c r="AF44"/>
  <c r="AB44"/>
  <c r="AA44"/>
  <c r="AE44" s="1"/>
  <c r="P44"/>
  <c r="AT44" s="1"/>
  <c r="O44"/>
  <c r="BC43"/>
  <c r="AU43"/>
  <c r="AR43"/>
  <c r="AQ43"/>
  <c r="AM43"/>
  <c r="AF43"/>
  <c r="AB43"/>
  <c r="AA43"/>
  <c r="AE43" s="1"/>
  <c r="P43"/>
  <c r="AT43" s="1"/>
  <c r="O43"/>
  <c r="AU42"/>
  <c r="AR42"/>
  <c r="AQ42"/>
  <c r="AF42"/>
  <c r="AB42"/>
  <c r="AA42"/>
  <c r="AE42" s="1"/>
  <c r="P42"/>
  <c r="AT42" s="1"/>
  <c r="O42"/>
  <c r="BC41"/>
  <c r="AU41"/>
  <c r="AR41"/>
  <c r="AQ41"/>
  <c r="AM41"/>
  <c r="AF41"/>
  <c r="AB41"/>
  <c r="AA41"/>
  <c r="AE41" s="1"/>
  <c r="P41"/>
  <c r="AT41" s="1"/>
  <c r="O41"/>
  <c r="BC40"/>
  <c r="AU40"/>
  <c r="AR40"/>
  <c r="AQ40"/>
  <c r="AM40"/>
  <c r="AF40"/>
  <c r="AB40"/>
  <c r="AA40"/>
  <c r="AE40" s="1"/>
  <c r="P40"/>
  <c r="AT40" s="1"/>
  <c r="O40"/>
  <c r="BC39"/>
  <c r="AU39"/>
  <c r="AR39"/>
  <c r="AQ39"/>
  <c r="AM39"/>
  <c r="AF39"/>
  <c r="AB39"/>
  <c r="AA39"/>
  <c r="AE39" s="1"/>
  <c r="P39"/>
  <c r="AT39" s="1"/>
  <c r="O39"/>
  <c r="AU38"/>
  <c r="AR38"/>
  <c r="AQ38"/>
  <c r="AF38"/>
  <c r="AB38"/>
  <c r="AA38"/>
  <c r="AE38" s="1"/>
  <c r="P38"/>
  <c r="AT38" s="1"/>
  <c r="O38"/>
  <c r="BC37"/>
  <c r="AU37"/>
  <c r="AR37"/>
  <c r="AQ37"/>
  <c r="AM37"/>
  <c r="AF37"/>
  <c r="AB37"/>
  <c r="AA37"/>
  <c r="AE37" s="1"/>
  <c r="P37"/>
  <c r="AT37" s="1"/>
  <c r="O37"/>
  <c r="BC36"/>
  <c r="AU36"/>
  <c r="AR36"/>
  <c r="AQ36"/>
  <c r="AM36"/>
  <c r="AF36"/>
  <c r="AB36"/>
  <c r="AA36"/>
  <c r="AE36" s="1"/>
  <c r="P36"/>
  <c r="AT36" s="1"/>
  <c r="O36"/>
  <c r="AU35"/>
  <c r="AR35"/>
  <c r="AQ35"/>
  <c r="AF35"/>
  <c r="AB35"/>
  <c r="AA35"/>
  <c r="AE35" s="1"/>
  <c r="P35"/>
  <c r="AT35" s="1"/>
  <c r="O35"/>
  <c r="BC34"/>
  <c r="AU34"/>
  <c r="AR34"/>
  <c r="AQ34"/>
  <c r="AM34"/>
  <c r="AF34"/>
  <c r="AB34"/>
  <c r="AA34"/>
  <c r="AE34" s="1"/>
  <c r="P34"/>
  <c r="AT34" s="1"/>
  <c r="O34"/>
  <c r="BC33"/>
  <c r="AU33"/>
  <c r="AR33"/>
  <c r="AQ33"/>
  <c r="AM33"/>
  <c r="AF33"/>
  <c r="AB33"/>
  <c r="AA33"/>
  <c r="AE33" s="1"/>
  <c r="P33"/>
  <c r="AT33" s="1"/>
  <c r="O33"/>
  <c r="BC32"/>
  <c r="AU32"/>
  <c r="AR32"/>
  <c r="AQ32"/>
  <c r="AM32"/>
  <c r="AF32"/>
  <c r="AB32"/>
  <c r="AA32"/>
  <c r="AE32" s="1"/>
  <c r="P32"/>
  <c r="AT32" s="1"/>
  <c r="O32"/>
  <c r="AU31"/>
  <c r="AR31"/>
  <c r="AQ31"/>
  <c r="AF31"/>
  <c r="AB31"/>
  <c r="AA31"/>
  <c r="AE31" s="1"/>
  <c r="P31"/>
  <c r="AT31" s="1"/>
  <c r="O31"/>
  <c r="BC30"/>
  <c r="AU30"/>
  <c r="AR30"/>
  <c r="AQ30"/>
  <c r="AM30"/>
  <c r="AF30"/>
  <c r="AB30"/>
  <c r="AA30"/>
  <c r="AE30" s="1"/>
  <c r="P30"/>
  <c r="AT30" s="1"/>
  <c r="O30"/>
  <c r="BC29"/>
  <c r="AU29"/>
  <c r="AR29"/>
  <c r="AQ29"/>
  <c r="AM29"/>
  <c r="AF29"/>
  <c r="AB29"/>
  <c r="AA29"/>
  <c r="AE29" s="1"/>
  <c r="P29"/>
  <c r="AT29" s="1"/>
  <c r="O29"/>
  <c r="BC28"/>
  <c r="AU28"/>
  <c r="AR28"/>
  <c r="AQ28"/>
  <c r="AM28"/>
  <c r="AF28"/>
  <c r="AB28"/>
  <c r="AA28"/>
  <c r="AE28" s="1"/>
  <c r="P28"/>
  <c r="AT28" s="1"/>
  <c r="O28"/>
  <c r="BC27"/>
  <c r="AU27"/>
  <c r="AR27"/>
  <c r="AQ27"/>
  <c r="AM27"/>
  <c r="AF27"/>
  <c r="AB27"/>
  <c r="AA27"/>
  <c r="AE27" s="1"/>
  <c r="P27"/>
  <c r="AT27" s="1"/>
  <c r="O27"/>
  <c r="AU26"/>
  <c r="AR26"/>
  <c r="AQ26"/>
  <c r="AF26"/>
  <c r="AB26"/>
  <c r="AA26"/>
  <c r="AE26" s="1"/>
  <c r="P26"/>
  <c r="AT26" s="1"/>
  <c r="O26"/>
  <c r="BC25"/>
  <c r="AU25"/>
  <c r="AR25"/>
  <c r="AQ25"/>
  <c r="AM25"/>
  <c r="AF25"/>
  <c r="AB25"/>
  <c r="AA25"/>
  <c r="AE25" s="1"/>
  <c r="P25"/>
  <c r="AT25" s="1"/>
  <c r="O25"/>
  <c r="BC24"/>
  <c r="AU24"/>
  <c r="AR24"/>
  <c r="AQ24"/>
  <c r="AM24"/>
  <c r="AF24"/>
  <c r="AB24"/>
  <c r="AA24"/>
  <c r="AE24" s="1"/>
  <c r="P24"/>
  <c r="AT24" s="1"/>
  <c r="O24"/>
  <c r="BC23"/>
  <c r="AU23"/>
  <c r="AR23"/>
  <c r="AQ23"/>
  <c r="AM23"/>
  <c r="AF23"/>
  <c r="AB23"/>
  <c r="AA23"/>
  <c r="AE23" s="1"/>
  <c r="P23"/>
  <c r="AT23" s="1"/>
  <c r="O23"/>
  <c r="BC22"/>
  <c r="AU22"/>
  <c r="AR22"/>
  <c r="AQ22"/>
  <c r="AM22"/>
  <c r="AF22"/>
  <c r="AB22"/>
  <c r="AA22"/>
  <c r="AE22" s="1"/>
  <c r="P22"/>
  <c r="AT22" s="1"/>
  <c r="O22"/>
  <c r="BC21"/>
  <c r="AU21"/>
  <c r="AR21"/>
  <c r="AQ21"/>
  <c r="AM21"/>
  <c r="AF21"/>
  <c r="AB21"/>
  <c r="AA21"/>
  <c r="AE21" s="1"/>
  <c r="P21"/>
  <c r="AT21" s="1"/>
  <c r="O21"/>
  <c r="BC20"/>
  <c r="AU20"/>
  <c r="AR20"/>
  <c r="AQ20"/>
  <c r="AM20"/>
  <c r="AF20"/>
  <c r="AB20"/>
  <c r="AA20"/>
  <c r="AE20" s="1"/>
  <c r="P20"/>
  <c r="AT20" s="1"/>
  <c r="O20"/>
  <c r="BC19"/>
  <c r="AU19"/>
  <c r="AR19"/>
  <c r="AQ19"/>
  <c r="AM19"/>
  <c r="AF19"/>
  <c r="AB19"/>
  <c r="AA19"/>
  <c r="AE19" s="1"/>
  <c r="P19"/>
  <c r="AT19" s="1"/>
  <c r="O19"/>
  <c r="BC18"/>
  <c r="AU18"/>
  <c r="AR18"/>
  <c r="AQ18"/>
  <c r="AM18"/>
  <c r="AF18"/>
  <c r="AB18"/>
  <c r="AA18"/>
  <c r="AE18" s="1"/>
  <c r="P18"/>
  <c r="AT18" s="1"/>
  <c r="O18"/>
  <c r="BC17"/>
  <c r="AU17"/>
  <c r="AR17"/>
  <c r="AQ17"/>
  <c r="AM17"/>
  <c r="AF17"/>
  <c r="AB17"/>
  <c r="AA17"/>
  <c r="AE17" s="1"/>
  <c r="P17"/>
  <c r="AT17" s="1"/>
  <c r="O17"/>
  <c r="AU16"/>
  <c r="AR16"/>
  <c r="AQ16"/>
  <c r="AF16"/>
  <c r="AB16"/>
  <c r="AA16"/>
  <c r="AE16" s="1"/>
  <c r="P16"/>
  <c r="AT16" s="1"/>
  <c r="O16"/>
  <c r="BC15"/>
  <c r="AU15"/>
  <c r="AR15"/>
  <c r="AQ15"/>
  <c r="AM15"/>
  <c r="AF15"/>
  <c r="AB15"/>
  <c r="AA15"/>
  <c r="AE15" s="1"/>
  <c r="P15"/>
  <c r="AT15" s="1"/>
  <c r="O15"/>
  <c r="BC14"/>
  <c r="AU14"/>
  <c r="AR14"/>
  <c r="AQ14"/>
  <c r="AM14"/>
  <c r="AF14"/>
  <c r="AB14"/>
  <c r="AA14"/>
  <c r="AE14" s="1"/>
  <c r="P14"/>
  <c r="AT14" s="1"/>
  <c r="O14"/>
  <c r="BC13"/>
  <c r="AU13"/>
  <c r="AR13"/>
  <c r="AQ13"/>
  <c r="AM13"/>
  <c r="AF13"/>
  <c r="AB13"/>
  <c r="AA13"/>
  <c r="AE13" s="1"/>
  <c r="P13"/>
  <c r="AT13" s="1"/>
  <c r="O13"/>
  <c r="BC12"/>
  <c r="AU12"/>
  <c r="AR12"/>
  <c r="AQ12"/>
  <c r="AM12"/>
  <c r="AF12"/>
  <c r="AB12"/>
  <c r="AA12"/>
  <c r="AE12" s="1"/>
  <c r="P12"/>
  <c r="AT12" s="1"/>
  <c r="O12"/>
  <c r="BC11"/>
  <c r="AU11"/>
  <c r="AR11"/>
  <c r="AQ11"/>
  <c r="AM11"/>
  <c r="AF11"/>
  <c r="AB11"/>
  <c r="AA11"/>
  <c r="AE11" s="1"/>
  <c r="P11"/>
  <c r="AT11" s="1"/>
  <c r="O11"/>
  <c r="BC10"/>
  <c r="AU10"/>
  <c r="AR10"/>
  <c r="AQ10"/>
  <c r="AM10"/>
  <c r="AF10"/>
  <c r="AB10"/>
  <c r="AA10"/>
  <c r="AE10" s="1"/>
  <c r="P10"/>
  <c r="AT10" s="1"/>
  <c r="O10"/>
  <c r="BC9"/>
  <c r="AU9"/>
  <c r="AR9"/>
  <c r="AQ9"/>
  <c r="AM9"/>
  <c r="AF9"/>
  <c r="AB9"/>
  <c r="AA9"/>
  <c r="AE9" s="1"/>
  <c r="P9"/>
  <c r="AT9" s="1"/>
  <c r="O9"/>
  <c r="BC8"/>
  <c r="AU8"/>
  <c r="AR8"/>
  <c r="AQ8"/>
  <c r="AM8"/>
  <c r="AF8"/>
  <c r="AB8"/>
  <c r="AA8"/>
  <c r="AE8" s="1"/>
  <c r="P8"/>
  <c r="AT8" s="1"/>
  <c r="O8"/>
  <c r="AU7"/>
  <c r="AR7"/>
  <c r="AQ7"/>
  <c r="AF7"/>
  <c r="AB7"/>
  <c r="AA7"/>
  <c r="AE7" s="1"/>
  <c r="P7"/>
  <c r="AT7" s="1"/>
  <c r="O7"/>
  <c r="BC6"/>
  <c r="AU6"/>
  <c r="AR6"/>
  <c r="AQ6"/>
  <c r="AM6"/>
  <c r="AF6"/>
  <c r="AB6"/>
  <c r="AA6"/>
  <c r="AE6" s="1"/>
  <c r="P6"/>
  <c r="AT6" s="1"/>
  <c r="O6"/>
  <c r="AU5"/>
  <c r="AR5"/>
  <c r="AQ5"/>
  <c r="AF5"/>
  <c r="AB5"/>
  <c r="AA5"/>
  <c r="AE5" s="1"/>
  <c r="P5"/>
  <c r="AT5" s="1"/>
  <c r="O5"/>
  <c r="BC4"/>
  <c r="AU4"/>
  <c r="AR4"/>
  <c r="AQ4"/>
  <c r="AM4"/>
  <c r="AF4"/>
  <c r="AB4"/>
  <c r="AA4"/>
  <c r="P4"/>
  <c r="AT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320" i="6"/>
  <c r="AR320"/>
  <c r="AQ320"/>
  <c r="AM320"/>
  <c r="AB320"/>
  <c r="AA320"/>
  <c r="P320"/>
  <c r="O320"/>
  <c r="AV320" s="1"/>
  <c r="BC319"/>
  <c r="AR319"/>
  <c r="AQ319"/>
  <c r="AM319"/>
  <c r="AB319"/>
  <c r="AA319"/>
  <c r="P319"/>
  <c r="O319"/>
  <c r="AV319" s="1"/>
  <c r="BC318"/>
  <c r="AR318"/>
  <c r="AQ318"/>
  <c r="AM318"/>
  <c r="AB318"/>
  <c r="AA318"/>
  <c r="P318"/>
  <c r="O318"/>
  <c r="AV318" s="1"/>
  <c r="BC317"/>
  <c r="AR317"/>
  <c r="AQ317"/>
  <c r="AM317"/>
  <c r="AB317"/>
  <c r="AA317"/>
  <c r="P317"/>
  <c r="U317" s="1"/>
  <c r="V317" s="1"/>
  <c r="O317"/>
  <c r="AV317" s="1"/>
  <c r="BC316"/>
  <c r="AR316"/>
  <c r="AQ316"/>
  <c r="AM316"/>
  <c r="AB316"/>
  <c r="AA316"/>
  <c r="P316"/>
  <c r="O316"/>
  <c r="AV316" s="1"/>
  <c r="BC315"/>
  <c r="AR315"/>
  <c r="AQ315"/>
  <c r="AM315"/>
  <c r="AB315"/>
  <c r="AA315"/>
  <c r="P315"/>
  <c r="U315" s="1"/>
  <c r="V315" s="1"/>
  <c r="O315"/>
  <c r="AV315" s="1"/>
  <c r="BC314"/>
  <c r="AR314"/>
  <c r="AQ314"/>
  <c r="AM314"/>
  <c r="AB314"/>
  <c r="AA314"/>
  <c r="AF314" s="1"/>
  <c r="P314"/>
  <c r="AW314" s="1"/>
  <c r="O314"/>
  <c r="BC313"/>
  <c r="AR313"/>
  <c r="AQ313"/>
  <c r="AX313" s="1"/>
  <c r="AM313"/>
  <c r="AB313"/>
  <c r="AA313"/>
  <c r="AF313" s="1"/>
  <c r="P313"/>
  <c r="AE313" s="1"/>
  <c r="O313"/>
  <c r="AW313" s="1"/>
  <c r="BC312"/>
  <c r="AR312"/>
  <c r="AQ312"/>
  <c r="AX312" s="1"/>
  <c r="AM312"/>
  <c r="AB312"/>
  <c r="AA312"/>
  <c r="AF312" s="1"/>
  <c r="P312"/>
  <c r="AE312" s="1"/>
  <c r="O312"/>
  <c r="AW312" s="1"/>
  <c r="BC311"/>
  <c r="AR311"/>
  <c r="AQ311"/>
  <c r="AX311" s="1"/>
  <c r="AM311"/>
  <c r="AB311"/>
  <c r="AA311"/>
  <c r="AF311" s="1"/>
  <c r="P311"/>
  <c r="AE311" s="1"/>
  <c r="O311"/>
  <c r="AW311" s="1"/>
  <c r="AR310"/>
  <c r="AQ310"/>
  <c r="AX310" s="1"/>
  <c r="AB310"/>
  <c r="AA310"/>
  <c r="AF310" s="1"/>
  <c r="P310"/>
  <c r="AE310" s="1"/>
  <c r="O310"/>
  <c r="AW310" s="1"/>
  <c r="BC309"/>
  <c r="AR309"/>
  <c r="AQ309"/>
  <c r="AX309" s="1"/>
  <c r="AM309"/>
  <c r="AB309"/>
  <c r="AA309"/>
  <c r="AF309" s="1"/>
  <c r="P309"/>
  <c r="AE309" s="1"/>
  <c r="O309"/>
  <c r="AW309" s="1"/>
  <c r="BC308"/>
  <c r="AR308"/>
  <c r="AQ308"/>
  <c r="AX308" s="1"/>
  <c r="AM308"/>
  <c r="AB308"/>
  <c r="AA308"/>
  <c r="AF308" s="1"/>
  <c r="P308"/>
  <c r="AE308" s="1"/>
  <c r="O308"/>
  <c r="AW308" s="1"/>
  <c r="BC307"/>
  <c r="AR307"/>
  <c r="AQ307"/>
  <c r="AX307" s="1"/>
  <c r="AM307"/>
  <c r="AB307"/>
  <c r="AA307"/>
  <c r="AF307" s="1"/>
  <c r="P307"/>
  <c r="AE307" s="1"/>
  <c r="O307"/>
  <c r="AW307" s="1"/>
  <c r="BC306"/>
  <c r="AR306"/>
  <c r="AQ306"/>
  <c r="AX306" s="1"/>
  <c r="AM306"/>
  <c r="AB306"/>
  <c r="AA306"/>
  <c r="AF306" s="1"/>
  <c r="P306"/>
  <c r="AE306" s="1"/>
  <c r="O306"/>
  <c r="AW306" s="1"/>
  <c r="BC305"/>
  <c r="AR305"/>
  <c r="AQ305"/>
  <c r="AX305" s="1"/>
  <c r="AM305"/>
  <c r="AB305"/>
  <c r="AA305"/>
  <c r="AF305" s="1"/>
  <c r="P305"/>
  <c r="AE305" s="1"/>
  <c r="O305"/>
  <c r="AW305" s="1"/>
  <c r="BC304"/>
  <c r="AR304"/>
  <c r="AQ304"/>
  <c r="AX304" s="1"/>
  <c r="AM304"/>
  <c r="AB304"/>
  <c r="AA304"/>
  <c r="AF304" s="1"/>
  <c r="P304"/>
  <c r="AE304" s="1"/>
  <c r="O304"/>
  <c r="AW304" s="1"/>
  <c r="BC303"/>
  <c r="AR303"/>
  <c r="AQ303"/>
  <c r="AX303" s="1"/>
  <c r="AM303"/>
  <c r="AB303"/>
  <c r="AA303"/>
  <c r="AF303" s="1"/>
  <c r="P303"/>
  <c r="AE303" s="1"/>
  <c r="O303"/>
  <c r="AW303" s="1"/>
  <c r="BC302"/>
  <c r="AR302"/>
  <c r="AQ302"/>
  <c r="AX302" s="1"/>
  <c r="AM302"/>
  <c r="AB302"/>
  <c r="AA302"/>
  <c r="AF302" s="1"/>
  <c r="P302"/>
  <c r="AE302" s="1"/>
  <c r="O302"/>
  <c r="AW302" s="1"/>
  <c r="BC301"/>
  <c r="AR301"/>
  <c r="AQ301"/>
  <c r="AX301" s="1"/>
  <c r="AM301"/>
  <c r="AB301"/>
  <c r="AA301"/>
  <c r="AF301" s="1"/>
  <c r="P301"/>
  <c r="AE301" s="1"/>
  <c r="O301"/>
  <c r="AW301" s="1"/>
  <c r="BC300"/>
  <c r="AR300"/>
  <c r="AQ300"/>
  <c r="AX300" s="1"/>
  <c r="AM300"/>
  <c r="AB300"/>
  <c r="AA300"/>
  <c r="AF300" s="1"/>
  <c r="P300"/>
  <c r="AE300" s="1"/>
  <c r="O300"/>
  <c r="AU300" s="1"/>
  <c r="BC299"/>
  <c r="AR299"/>
  <c r="AQ299"/>
  <c r="AX299" s="1"/>
  <c r="AM299"/>
  <c r="AB299"/>
  <c r="AA299"/>
  <c r="P299"/>
  <c r="AE299" s="1"/>
  <c r="O299"/>
  <c r="AU299" s="1"/>
  <c r="BC298"/>
  <c r="AR298"/>
  <c r="AQ298"/>
  <c r="AX298" s="1"/>
  <c r="AM298"/>
  <c r="AB298"/>
  <c r="AA298"/>
  <c r="P298"/>
  <c r="AE298" s="1"/>
  <c r="O298"/>
  <c r="AU298" s="1"/>
  <c r="BC297"/>
  <c r="AR297"/>
  <c r="AQ297"/>
  <c r="AX297" s="1"/>
  <c r="AM297"/>
  <c r="AB297"/>
  <c r="AA297"/>
  <c r="P297"/>
  <c r="AE297" s="1"/>
  <c r="O297"/>
  <c r="AU297" s="1"/>
  <c r="BC296"/>
  <c r="AR296"/>
  <c r="AQ296"/>
  <c r="AX296" s="1"/>
  <c r="AM296"/>
  <c r="AB296"/>
  <c r="AA296"/>
  <c r="P296"/>
  <c r="AE296" s="1"/>
  <c r="O296"/>
  <c r="AU296" s="1"/>
  <c r="BC295"/>
  <c r="AR295"/>
  <c r="AQ295"/>
  <c r="AX295" s="1"/>
  <c r="AM295"/>
  <c r="AB295"/>
  <c r="AA295"/>
  <c r="P295"/>
  <c r="AE295" s="1"/>
  <c r="O295"/>
  <c r="AU295" s="1"/>
  <c r="BC294"/>
  <c r="AR294"/>
  <c r="AQ294"/>
  <c r="AX294" s="1"/>
  <c r="AM294"/>
  <c r="AB294"/>
  <c r="AA294"/>
  <c r="P294"/>
  <c r="AE294" s="1"/>
  <c r="O294"/>
  <c r="AU294" s="1"/>
  <c r="BC293"/>
  <c r="AR293"/>
  <c r="AQ293"/>
  <c r="AX293" s="1"/>
  <c r="AM293"/>
  <c r="AB293"/>
  <c r="AA293"/>
  <c r="P293"/>
  <c r="AE293" s="1"/>
  <c r="O293"/>
  <c r="AU293" s="1"/>
  <c r="BC292"/>
  <c r="AR292"/>
  <c r="AQ292"/>
  <c r="AX292" s="1"/>
  <c r="AM292"/>
  <c r="AB292"/>
  <c r="AA292"/>
  <c r="P292"/>
  <c r="AE292" s="1"/>
  <c r="O292"/>
  <c r="AU292" s="1"/>
  <c r="BC291"/>
  <c r="AR291"/>
  <c r="AQ291"/>
  <c r="AX291" s="1"/>
  <c r="AM291"/>
  <c r="AB291"/>
  <c r="AA291"/>
  <c r="P291"/>
  <c r="AE291" s="1"/>
  <c r="O291"/>
  <c r="AU291" s="1"/>
  <c r="BC290"/>
  <c r="AR290"/>
  <c r="AQ290"/>
  <c r="AX290" s="1"/>
  <c r="AM290"/>
  <c r="AB290"/>
  <c r="AA290"/>
  <c r="P290"/>
  <c r="AE290" s="1"/>
  <c r="O290"/>
  <c r="AU290" s="1"/>
  <c r="BC289"/>
  <c r="AR289"/>
  <c r="AQ289"/>
  <c r="AX289" s="1"/>
  <c r="AM289"/>
  <c r="AB289"/>
  <c r="AA289"/>
  <c r="P289"/>
  <c r="AE289" s="1"/>
  <c r="O289"/>
  <c r="AU289" s="1"/>
  <c r="BC288"/>
  <c r="AR288"/>
  <c r="AQ288"/>
  <c r="AX288" s="1"/>
  <c r="AM288"/>
  <c r="AB288"/>
  <c r="AA288"/>
  <c r="P288"/>
  <c r="AE288" s="1"/>
  <c r="O288"/>
  <c r="AU288" s="1"/>
  <c r="BC287"/>
  <c r="AR287"/>
  <c r="AQ287"/>
  <c r="AV287" s="1"/>
  <c r="AM287"/>
  <c r="AB287"/>
  <c r="AG287" s="1"/>
  <c r="AA287"/>
  <c r="P287"/>
  <c r="O287"/>
  <c r="AU287" s="1"/>
  <c r="BC286"/>
  <c r="AV286"/>
  <c r="AR286"/>
  <c r="AQ286"/>
  <c r="AM286"/>
  <c r="AG286"/>
  <c r="AB286"/>
  <c r="AA286"/>
  <c r="P286"/>
  <c r="AE286" s="1"/>
  <c r="O286"/>
  <c r="AU286" s="1"/>
  <c r="BC285"/>
  <c r="AR285"/>
  <c r="AQ285"/>
  <c r="AV285" s="1"/>
  <c r="AM285"/>
  <c r="AB285"/>
  <c r="AG285" s="1"/>
  <c r="AA285"/>
  <c r="P285"/>
  <c r="O285"/>
  <c r="AU285" s="1"/>
  <c r="BC284"/>
  <c r="AV284"/>
  <c r="AR284"/>
  <c r="AQ284"/>
  <c r="AM284"/>
  <c r="AG284"/>
  <c r="AB284"/>
  <c r="AA284"/>
  <c r="P284"/>
  <c r="AE284" s="1"/>
  <c r="O284"/>
  <c r="AU284" s="1"/>
  <c r="BC283"/>
  <c r="AR283"/>
  <c r="AQ283"/>
  <c r="AV283" s="1"/>
  <c r="AM283"/>
  <c r="AB283"/>
  <c r="AG283" s="1"/>
  <c r="AA283"/>
  <c r="P283"/>
  <c r="O283"/>
  <c r="AU283" s="1"/>
  <c r="BC282"/>
  <c r="AV282"/>
  <c r="AR282"/>
  <c r="AQ282"/>
  <c r="AM282"/>
  <c r="AG282"/>
  <c r="AB282"/>
  <c r="AA282"/>
  <c r="P282"/>
  <c r="AE282" s="1"/>
  <c r="O282"/>
  <c r="AU282" s="1"/>
  <c r="BC281"/>
  <c r="AR281"/>
  <c r="AQ281"/>
  <c r="AV281" s="1"/>
  <c r="AM281"/>
  <c r="AB281"/>
  <c r="AG281" s="1"/>
  <c r="AA281"/>
  <c r="P281"/>
  <c r="O281"/>
  <c r="AU281" s="1"/>
  <c r="BC280"/>
  <c r="AV280"/>
  <c r="AR280"/>
  <c r="AQ280"/>
  <c r="AM280"/>
  <c r="AG280"/>
  <c r="AB280"/>
  <c r="AA280"/>
  <c r="P280"/>
  <c r="AE280" s="1"/>
  <c r="O280"/>
  <c r="AU280" s="1"/>
  <c r="BC279"/>
  <c r="AR279"/>
  <c r="AQ279"/>
  <c r="AV279" s="1"/>
  <c r="AM279"/>
  <c r="AB279"/>
  <c r="AG279" s="1"/>
  <c r="AA279"/>
  <c r="P279"/>
  <c r="O279"/>
  <c r="AU279" s="1"/>
  <c r="BC278"/>
  <c r="AV278"/>
  <c r="AR278"/>
  <c r="AQ278"/>
  <c r="AM278"/>
  <c r="AG278"/>
  <c r="AB278"/>
  <c r="AA278"/>
  <c r="P278"/>
  <c r="AE278" s="1"/>
  <c r="O278"/>
  <c r="AU278" s="1"/>
  <c r="BC277"/>
  <c r="AR277"/>
  <c r="AQ277"/>
  <c r="AV277" s="1"/>
  <c r="AM277"/>
  <c r="AB277"/>
  <c r="AG277" s="1"/>
  <c r="AA277"/>
  <c r="P277"/>
  <c r="O277"/>
  <c r="AU277" s="1"/>
  <c r="BC276"/>
  <c r="AV276"/>
  <c r="AR276"/>
  <c r="AQ276"/>
  <c r="AM276"/>
  <c r="AG276"/>
  <c r="AB276"/>
  <c r="AA276"/>
  <c r="P276"/>
  <c r="AE276" s="1"/>
  <c r="O276"/>
  <c r="AU276" s="1"/>
  <c r="BC275"/>
  <c r="AR275"/>
  <c r="AQ275"/>
  <c r="AV275" s="1"/>
  <c r="AM275"/>
  <c r="AB275"/>
  <c r="AG275" s="1"/>
  <c r="AA275"/>
  <c r="P275"/>
  <c r="O275"/>
  <c r="AU275" s="1"/>
  <c r="AV274"/>
  <c r="AR274"/>
  <c r="AQ274"/>
  <c r="AB274"/>
  <c r="AG274" s="1"/>
  <c r="AA274"/>
  <c r="P274"/>
  <c r="O274"/>
  <c r="AU274" s="1"/>
  <c r="BC273"/>
  <c r="AV273"/>
  <c r="AR273"/>
  <c r="AQ273"/>
  <c r="AM273"/>
  <c r="AG273"/>
  <c r="AB273"/>
  <c r="AA273"/>
  <c r="P273"/>
  <c r="AE273" s="1"/>
  <c r="O273"/>
  <c r="AU273" s="1"/>
  <c r="BC272"/>
  <c r="AR272"/>
  <c r="AQ272"/>
  <c r="AV272" s="1"/>
  <c r="AM272"/>
  <c r="AB272"/>
  <c r="AG272" s="1"/>
  <c r="AA272"/>
  <c r="P272"/>
  <c r="O272"/>
  <c r="AU272" s="1"/>
  <c r="BC271"/>
  <c r="AV271"/>
  <c r="AR271"/>
  <c r="AQ271"/>
  <c r="AM271"/>
  <c r="AG271"/>
  <c r="AB271"/>
  <c r="AA271"/>
  <c r="P271"/>
  <c r="AE271" s="1"/>
  <c r="O271"/>
  <c r="AU271" s="1"/>
  <c r="BC270"/>
  <c r="AR270"/>
  <c r="AQ270"/>
  <c r="AV270" s="1"/>
  <c r="AM270"/>
  <c r="AB270"/>
  <c r="AG270" s="1"/>
  <c r="AA270"/>
  <c r="P270"/>
  <c r="O270"/>
  <c r="AU270" s="1"/>
  <c r="BC269"/>
  <c r="AV269"/>
  <c r="AR269"/>
  <c r="AQ269"/>
  <c r="AM269"/>
  <c r="AG269"/>
  <c r="AB269"/>
  <c r="AA269"/>
  <c r="P269"/>
  <c r="AE269" s="1"/>
  <c r="O269"/>
  <c r="AU269" s="1"/>
  <c r="BC268"/>
  <c r="AR268"/>
  <c r="AQ268"/>
  <c r="AV268" s="1"/>
  <c r="AM268"/>
  <c r="AB268"/>
  <c r="AA268"/>
  <c r="P268"/>
  <c r="AG268" s="1"/>
  <c r="O268"/>
  <c r="BC267"/>
  <c r="AR267"/>
  <c r="AQ267"/>
  <c r="AX267" s="1"/>
  <c r="AM267"/>
  <c r="AB267"/>
  <c r="AA267"/>
  <c r="P267"/>
  <c r="U267" s="1"/>
  <c r="V267" s="1"/>
  <c r="O267"/>
  <c r="BC266"/>
  <c r="AR266"/>
  <c r="AQ266"/>
  <c r="AX266" s="1"/>
  <c r="AM266"/>
  <c r="AB266"/>
  <c r="AA266"/>
  <c r="P266"/>
  <c r="U266" s="1"/>
  <c r="V266" s="1"/>
  <c r="O266"/>
  <c r="BC265"/>
  <c r="AR265"/>
  <c r="AQ265"/>
  <c r="AX265" s="1"/>
  <c r="AM265"/>
  <c r="AB265"/>
  <c r="AA265"/>
  <c r="P265"/>
  <c r="U265" s="1"/>
  <c r="V265" s="1"/>
  <c r="O265"/>
  <c r="BC264"/>
  <c r="AR264"/>
  <c r="AQ264"/>
  <c r="AX264" s="1"/>
  <c r="AM264"/>
  <c r="AB264"/>
  <c r="AA264"/>
  <c r="P264"/>
  <c r="U264" s="1"/>
  <c r="V264" s="1"/>
  <c r="O264"/>
  <c r="BC263"/>
  <c r="AR263"/>
  <c r="AQ263"/>
  <c r="AX263" s="1"/>
  <c r="AM263"/>
  <c r="AB263"/>
  <c r="AA263"/>
  <c r="P263"/>
  <c r="U263" s="1"/>
  <c r="V263" s="1"/>
  <c r="O263"/>
  <c r="BC262"/>
  <c r="AR262"/>
  <c r="AQ262"/>
  <c r="AX262" s="1"/>
  <c r="AM262"/>
  <c r="AB262"/>
  <c r="AA262"/>
  <c r="P262"/>
  <c r="U262" s="1"/>
  <c r="V262" s="1"/>
  <c r="O262"/>
  <c r="BC261"/>
  <c r="AR261"/>
  <c r="AQ261"/>
  <c r="AX261" s="1"/>
  <c r="AM261"/>
  <c r="AB261"/>
  <c r="AA261"/>
  <c r="P261"/>
  <c r="U261" s="1"/>
  <c r="V261" s="1"/>
  <c r="O261"/>
  <c r="BC260"/>
  <c r="AR260"/>
  <c r="AQ260"/>
  <c r="AM260"/>
  <c r="AB260"/>
  <c r="AA260"/>
  <c r="P260"/>
  <c r="U260" s="1"/>
  <c r="V260" s="1"/>
  <c r="O260"/>
  <c r="BC259"/>
  <c r="AR259"/>
  <c r="AQ259"/>
  <c r="AX259" s="1"/>
  <c r="AM259"/>
  <c r="AB259"/>
  <c r="AA259"/>
  <c r="P259"/>
  <c r="U259" s="1"/>
  <c r="V259" s="1"/>
  <c r="O259"/>
  <c r="BC258"/>
  <c r="AR258"/>
  <c r="AQ258"/>
  <c r="AX258" s="1"/>
  <c r="AM258"/>
  <c r="AB258"/>
  <c r="AA258"/>
  <c r="P258"/>
  <c r="U258" s="1"/>
  <c r="V258" s="1"/>
  <c r="O258"/>
  <c r="BC257"/>
  <c r="AR257"/>
  <c r="AQ257"/>
  <c r="AX257" s="1"/>
  <c r="AM257"/>
  <c r="AB257"/>
  <c r="AA257"/>
  <c r="P257"/>
  <c r="U257" s="1"/>
  <c r="V257" s="1"/>
  <c r="O257"/>
  <c r="BC256"/>
  <c r="AR256"/>
  <c r="AQ256"/>
  <c r="AX256" s="1"/>
  <c r="AM256"/>
  <c r="AB256"/>
  <c r="AA256"/>
  <c r="P256"/>
  <c r="U256" s="1"/>
  <c r="V256" s="1"/>
  <c r="O256"/>
  <c r="BC255"/>
  <c r="AR255"/>
  <c r="AQ255"/>
  <c r="AX255" s="1"/>
  <c r="AM255"/>
  <c r="AB255"/>
  <c r="AA255"/>
  <c r="P255"/>
  <c r="U255" s="1"/>
  <c r="V255" s="1"/>
  <c r="O255"/>
  <c r="BC254"/>
  <c r="AR254"/>
  <c r="AQ254"/>
  <c r="AX254" s="1"/>
  <c r="AM254"/>
  <c r="AB254"/>
  <c r="AA254"/>
  <c r="P254"/>
  <c r="U254" s="1"/>
  <c r="V254" s="1"/>
  <c r="O254"/>
  <c r="BC253"/>
  <c r="AR253"/>
  <c r="AQ253"/>
  <c r="AX253" s="1"/>
  <c r="AM253"/>
  <c r="AB253"/>
  <c r="AA253"/>
  <c r="P253"/>
  <c r="U253" s="1"/>
  <c r="V253" s="1"/>
  <c r="O253"/>
  <c r="BC252"/>
  <c r="AR252"/>
  <c r="AQ252"/>
  <c r="AX252" s="1"/>
  <c r="AM252"/>
  <c r="AB252"/>
  <c r="AA252"/>
  <c r="P252"/>
  <c r="U252" s="1"/>
  <c r="V252" s="1"/>
  <c r="O252"/>
  <c r="BC251"/>
  <c r="AR251"/>
  <c r="AQ251"/>
  <c r="AX251" s="1"/>
  <c r="AM251"/>
  <c r="AB251"/>
  <c r="AA251"/>
  <c r="P251"/>
  <c r="U251" s="1"/>
  <c r="V251" s="1"/>
  <c r="O251"/>
  <c r="BC250"/>
  <c r="AR250"/>
  <c r="AQ250"/>
  <c r="AX250" s="1"/>
  <c r="AM250"/>
  <c r="AB250"/>
  <c r="AA250"/>
  <c r="P250"/>
  <c r="U250" s="1"/>
  <c r="V250" s="1"/>
  <c r="O250"/>
  <c r="BC249"/>
  <c r="AR249"/>
  <c r="AQ249"/>
  <c r="AX249" s="1"/>
  <c r="AM249"/>
  <c r="AB249"/>
  <c r="AA249"/>
  <c r="P249"/>
  <c r="U249" s="1"/>
  <c r="V249" s="1"/>
  <c r="O249"/>
  <c r="BC248"/>
  <c r="AR248"/>
  <c r="AQ248"/>
  <c r="AX248" s="1"/>
  <c r="AM248"/>
  <c r="AB248"/>
  <c r="AA248"/>
  <c r="P248"/>
  <c r="U248" s="1"/>
  <c r="V248" s="1"/>
  <c r="O248"/>
  <c r="AR247"/>
  <c r="AQ247"/>
  <c r="AX247" s="1"/>
  <c r="AB247"/>
  <c r="AA247"/>
  <c r="P247"/>
  <c r="U247" s="1"/>
  <c r="V247" s="1"/>
  <c r="O247"/>
  <c r="AU247" s="1"/>
  <c r="BC246"/>
  <c r="AR246"/>
  <c r="AQ246"/>
  <c r="AX246" s="1"/>
  <c r="AM246"/>
  <c r="AB246"/>
  <c r="AA246"/>
  <c r="P246"/>
  <c r="U246" s="1"/>
  <c r="V246" s="1"/>
  <c r="O246"/>
  <c r="AU246" s="1"/>
  <c r="BC245"/>
  <c r="AU245"/>
  <c r="AR245"/>
  <c r="AQ245"/>
  <c r="AM245"/>
  <c r="AB245"/>
  <c r="AA245"/>
  <c r="AF245" s="1"/>
  <c r="U245"/>
  <c r="P245"/>
  <c r="O245"/>
  <c r="BC244"/>
  <c r="AU244"/>
  <c r="AR244"/>
  <c r="AQ244"/>
  <c r="AV244" s="1"/>
  <c r="AM244"/>
  <c r="AB244"/>
  <c r="AA244"/>
  <c r="AF244" s="1"/>
  <c r="U244"/>
  <c r="P244"/>
  <c r="O244"/>
  <c r="AX244" s="1"/>
  <c r="BC243"/>
  <c r="AU243"/>
  <c r="AR243"/>
  <c r="AQ243"/>
  <c r="AV243" s="1"/>
  <c r="AM243"/>
  <c r="AB243"/>
  <c r="AA243"/>
  <c r="AF243" s="1"/>
  <c r="U243"/>
  <c r="P243"/>
  <c r="O243"/>
  <c r="AX243" s="1"/>
  <c r="BC242"/>
  <c r="AU242"/>
  <c r="AR242"/>
  <c r="AQ242"/>
  <c r="AV242" s="1"/>
  <c r="AM242"/>
  <c r="AB242"/>
  <c r="AA242"/>
  <c r="AF242" s="1"/>
  <c r="U242"/>
  <c r="P242"/>
  <c r="O242"/>
  <c r="AX242" s="1"/>
  <c r="BC241"/>
  <c r="AU241"/>
  <c r="AR241"/>
  <c r="AQ241"/>
  <c r="AV241" s="1"/>
  <c r="AM241"/>
  <c r="AB241"/>
  <c r="AA241"/>
  <c r="AF241" s="1"/>
  <c r="U241"/>
  <c r="P241"/>
  <c r="O241"/>
  <c r="AX241" s="1"/>
  <c r="BC240"/>
  <c r="AU240"/>
  <c r="AR240"/>
  <c r="AQ240"/>
  <c r="AV240" s="1"/>
  <c r="AM240"/>
  <c r="AB240"/>
  <c r="AA240"/>
  <c r="AF240" s="1"/>
  <c r="U240"/>
  <c r="P240"/>
  <c r="O240"/>
  <c r="AX240" s="1"/>
  <c r="BC239"/>
  <c r="AU239"/>
  <c r="AR239"/>
  <c r="AQ239"/>
  <c r="AV239" s="1"/>
  <c r="AM239"/>
  <c r="AB239"/>
  <c r="AA239"/>
  <c r="AF239" s="1"/>
  <c r="U239"/>
  <c r="P239"/>
  <c r="O239"/>
  <c r="AX239" s="1"/>
  <c r="BC238"/>
  <c r="AU238"/>
  <c r="AR238"/>
  <c r="AQ238"/>
  <c r="AV238" s="1"/>
  <c r="AM238"/>
  <c r="AB238"/>
  <c r="AA238"/>
  <c r="AF238" s="1"/>
  <c r="U238"/>
  <c r="P238"/>
  <c r="O238"/>
  <c r="AX238" s="1"/>
  <c r="BC237"/>
  <c r="AU237"/>
  <c r="AR237"/>
  <c r="AQ237"/>
  <c r="AV237" s="1"/>
  <c r="AM237"/>
  <c r="AB237"/>
  <c r="AA237"/>
  <c r="AF237" s="1"/>
  <c r="U237"/>
  <c r="P237"/>
  <c r="O237"/>
  <c r="AX237" s="1"/>
  <c r="BC236"/>
  <c r="AU236"/>
  <c r="AR236"/>
  <c r="AQ236"/>
  <c r="AV236" s="1"/>
  <c r="AM236"/>
  <c r="AB236"/>
  <c r="AA236"/>
  <c r="AF236" s="1"/>
  <c r="U236"/>
  <c r="P236"/>
  <c r="O236"/>
  <c r="AX236" s="1"/>
  <c r="BC235"/>
  <c r="AU235"/>
  <c r="AR235"/>
  <c r="AQ235"/>
  <c r="AV235" s="1"/>
  <c r="AM235"/>
  <c r="AB235"/>
  <c r="AA235"/>
  <c r="AF235" s="1"/>
  <c r="U235"/>
  <c r="P235"/>
  <c r="O235"/>
  <c r="AX235" s="1"/>
  <c r="BC234"/>
  <c r="AU234"/>
  <c r="AR234"/>
  <c r="AQ234"/>
  <c r="AV234" s="1"/>
  <c r="AM234"/>
  <c r="AB234"/>
  <c r="AA234"/>
  <c r="AF234" s="1"/>
  <c r="U234"/>
  <c r="P234"/>
  <c r="O234"/>
  <c r="AX234" s="1"/>
  <c r="BC233"/>
  <c r="AU233"/>
  <c r="AR233"/>
  <c r="AQ233"/>
  <c r="AV233" s="1"/>
  <c r="AM233"/>
  <c r="AB233"/>
  <c r="AA233"/>
  <c r="AF233" s="1"/>
  <c r="U233"/>
  <c r="P233"/>
  <c r="O233"/>
  <c r="AX233" s="1"/>
  <c r="BC232"/>
  <c r="AU232"/>
  <c r="AR232"/>
  <c r="AQ232"/>
  <c r="AV232" s="1"/>
  <c r="AM232"/>
  <c r="AB232"/>
  <c r="AA232"/>
  <c r="AF232" s="1"/>
  <c r="U232"/>
  <c r="P232"/>
  <c r="O232"/>
  <c r="AX232" s="1"/>
  <c r="BC231"/>
  <c r="AU231"/>
  <c r="AR231"/>
  <c r="AQ231"/>
  <c r="AV231" s="1"/>
  <c r="AM231"/>
  <c r="AB231"/>
  <c r="AA231"/>
  <c r="AF231" s="1"/>
  <c r="U231"/>
  <c r="P231"/>
  <c r="O231"/>
  <c r="AX231" s="1"/>
  <c r="BC230"/>
  <c r="AU230"/>
  <c r="AR230"/>
  <c r="AQ230"/>
  <c r="AV230" s="1"/>
  <c r="AM230"/>
  <c r="AB230"/>
  <c r="AA230"/>
  <c r="AF230" s="1"/>
  <c r="U230"/>
  <c r="P230"/>
  <c r="O230"/>
  <c r="AX230" s="1"/>
  <c r="BC229"/>
  <c r="AU229"/>
  <c r="AR229"/>
  <c r="AQ229"/>
  <c r="AV229" s="1"/>
  <c r="AM229"/>
  <c r="AB229"/>
  <c r="AA229"/>
  <c r="AF229" s="1"/>
  <c r="U229"/>
  <c r="P229"/>
  <c r="O229"/>
  <c r="AX229" s="1"/>
  <c r="BC228"/>
  <c r="AU228"/>
  <c r="AR228"/>
  <c r="AQ228"/>
  <c r="AV228" s="1"/>
  <c r="AM228"/>
  <c r="AB228"/>
  <c r="AA228"/>
  <c r="AF228" s="1"/>
  <c r="U228"/>
  <c r="P228"/>
  <c r="O228"/>
  <c r="AX228" s="1"/>
  <c r="BC227"/>
  <c r="AU227"/>
  <c r="AR227"/>
  <c r="AQ227"/>
  <c r="AV227" s="1"/>
  <c r="AM227"/>
  <c r="AB227"/>
  <c r="AA227"/>
  <c r="AF227" s="1"/>
  <c r="U227"/>
  <c r="P227"/>
  <c r="O227"/>
  <c r="AX227" s="1"/>
  <c r="BC226"/>
  <c r="AU226"/>
  <c r="AR226"/>
  <c r="AQ226"/>
  <c r="AV226" s="1"/>
  <c r="AM226"/>
  <c r="AB226"/>
  <c r="AA226"/>
  <c r="AF226" s="1"/>
  <c r="U226"/>
  <c r="P226"/>
  <c r="O226"/>
  <c r="AX226" s="1"/>
  <c r="BC225"/>
  <c r="AU225"/>
  <c r="AR225"/>
  <c r="AQ225"/>
  <c r="AV225" s="1"/>
  <c r="AM225"/>
  <c r="AB225"/>
  <c r="AA225"/>
  <c r="AF225" s="1"/>
  <c r="U225"/>
  <c r="P225"/>
  <c r="O225"/>
  <c r="AX225" s="1"/>
  <c r="BC224"/>
  <c r="AU224"/>
  <c r="AR224"/>
  <c r="AQ224"/>
  <c r="AV224" s="1"/>
  <c r="AM224"/>
  <c r="AB224"/>
  <c r="AA224"/>
  <c r="AF224" s="1"/>
  <c r="U224"/>
  <c r="P224"/>
  <c r="O224"/>
  <c r="AX224" s="1"/>
  <c r="BC223"/>
  <c r="AU223"/>
  <c r="AR223"/>
  <c r="AQ223"/>
  <c r="AV223" s="1"/>
  <c r="AM223"/>
  <c r="AB223"/>
  <c r="AA223"/>
  <c r="AF223" s="1"/>
  <c r="U223"/>
  <c r="P223"/>
  <c r="O223"/>
  <c r="AX223" s="1"/>
  <c r="BC222"/>
  <c r="AU222"/>
  <c r="AR222"/>
  <c r="AQ222"/>
  <c r="AV222" s="1"/>
  <c r="AM222"/>
  <c r="AB222"/>
  <c r="AA222"/>
  <c r="AF222" s="1"/>
  <c r="U222"/>
  <c r="P222"/>
  <c r="O222"/>
  <c r="AX222" s="1"/>
  <c r="BC221"/>
  <c r="AU221"/>
  <c r="AR221"/>
  <c r="AQ221"/>
  <c r="AV221" s="1"/>
  <c r="AM221"/>
  <c r="AB221"/>
  <c r="AA221"/>
  <c r="AF221" s="1"/>
  <c r="U221"/>
  <c r="P221"/>
  <c r="O221"/>
  <c r="AX221" s="1"/>
  <c r="BC220"/>
  <c r="AU220"/>
  <c r="AR220"/>
  <c r="AQ220"/>
  <c r="AV220" s="1"/>
  <c r="AM220"/>
  <c r="AB220"/>
  <c r="AA220"/>
  <c r="AF220" s="1"/>
  <c r="U220"/>
  <c r="P220"/>
  <c r="O220"/>
  <c r="AX220" s="1"/>
  <c r="BC219"/>
  <c r="AU219"/>
  <c r="AR219"/>
  <c r="AQ219"/>
  <c r="AV219" s="1"/>
  <c r="AM219"/>
  <c r="AB219"/>
  <c r="AA219"/>
  <c r="AF219" s="1"/>
  <c r="U219"/>
  <c r="P219"/>
  <c r="O219"/>
  <c r="AX219" s="1"/>
  <c r="BC218"/>
  <c r="AU218"/>
  <c r="AR218"/>
  <c r="AQ218"/>
  <c r="AV218" s="1"/>
  <c r="AM218"/>
  <c r="AB218"/>
  <c r="AA218"/>
  <c r="AF218" s="1"/>
  <c r="U218"/>
  <c r="P218"/>
  <c r="O218"/>
  <c r="AX218" s="1"/>
  <c r="BC217"/>
  <c r="AU217"/>
  <c r="AR217"/>
  <c r="AQ217"/>
  <c r="AV217" s="1"/>
  <c r="AM217"/>
  <c r="AB217"/>
  <c r="AA217"/>
  <c r="AF217" s="1"/>
  <c r="U217"/>
  <c r="P217"/>
  <c r="O217"/>
  <c r="AX217" s="1"/>
  <c r="BC216"/>
  <c r="AU216"/>
  <c r="AR216"/>
  <c r="AQ216"/>
  <c r="AV216" s="1"/>
  <c r="AM216"/>
  <c r="AB216"/>
  <c r="AA216"/>
  <c r="AF216" s="1"/>
  <c r="U216"/>
  <c r="P216"/>
  <c r="O216"/>
  <c r="AX216" s="1"/>
  <c r="BC215"/>
  <c r="AU215"/>
  <c r="AR215"/>
  <c r="AQ215"/>
  <c r="AV215" s="1"/>
  <c r="AM215"/>
  <c r="AB215"/>
  <c r="AA215"/>
  <c r="AF215" s="1"/>
  <c r="U215"/>
  <c r="P215"/>
  <c r="O215"/>
  <c r="AX215" s="1"/>
  <c r="BC214"/>
  <c r="AU214"/>
  <c r="AR214"/>
  <c r="AQ214"/>
  <c r="AV214" s="1"/>
  <c r="AM214"/>
  <c r="AB214"/>
  <c r="AA214"/>
  <c r="AF214" s="1"/>
  <c r="U214"/>
  <c r="P214"/>
  <c r="O214"/>
  <c r="AX214" s="1"/>
  <c r="BC213"/>
  <c r="AU213"/>
  <c r="AR213"/>
  <c r="AQ213"/>
  <c r="AV213" s="1"/>
  <c r="AM213"/>
  <c r="AB213"/>
  <c r="AA213"/>
  <c r="AF213" s="1"/>
  <c r="U213"/>
  <c r="P213"/>
  <c r="O213"/>
  <c r="AX213" s="1"/>
  <c r="BC212"/>
  <c r="AU212"/>
  <c r="AR212"/>
  <c r="AQ212"/>
  <c r="AV212" s="1"/>
  <c r="AM212"/>
  <c r="AB212"/>
  <c r="AA212"/>
  <c r="AF212" s="1"/>
  <c r="U212"/>
  <c r="P212"/>
  <c r="O212"/>
  <c r="AX212" s="1"/>
  <c r="BC211"/>
  <c r="AU211"/>
  <c r="AR211"/>
  <c r="AQ211"/>
  <c r="AV211" s="1"/>
  <c r="AM211"/>
  <c r="AB211"/>
  <c r="AA211"/>
  <c r="AF211" s="1"/>
  <c r="U211"/>
  <c r="P211"/>
  <c r="O211"/>
  <c r="AX211" s="1"/>
  <c r="BC210"/>
  <c r="AU210"/>
  <c r="AR210"/>
  <c r="AQ210"/>
  <c r="AV210" s="1"/>
  <c r="AM210"/>
  <c r="AB210"/>
  <c r="AA210"/>
  <c r="AF210" s="1"/>
  <c r="U210"/>
  <c r="P210"/>
  <c r="O210"/>
  <c r="AX210" s="1"/>
  <c r="BC209"/>
  <c r="AU209"/>
  <c r="AR209"/>
  <c r="AQ209"/>
  <c r="AV209" s="1"/>
  <c r="AM209"/>
  <c r="AB209"/>
  <c r="AA209"/>
  <c r="AF209" s="1"/>
  <c r="U209"/>
  <c r="P209"/>
  <c r="O209"/>
  <c r="AX209" s="1"/>
  <c r="BC208"/>
  <c r="AU208"/>
  <c r="AR208"/>
  <c r="AQ208"/>
  <c r="AV208" s="1"/>
  <c r="AM208"/>
  <c r="AB208"/>
  <c r="AA208"/>
  <c r="AF208" s="1"/>
  <c r="U208"/>
  <c r="P208"/>
  <c r="O208"/>
  <c r="AX208" s="1"/>
  <c r="AU207"/>
  <c r="AR207"/>
  <c r="AQ207"/>
  <c r="AV207" s="1"/>
  <c r="AB207"/>
  <c r="AA207"/>
  <c r="AF207" s="1"/>
  <c r="U207"/>
  <c r="P207"/>
  <c r="O207"/>
  <c r="AX207" s="1"/>
  <c r="BC206"/>
  <c r="AU206"/>
  <c r="AR206"/>
  <c r="AQ206"/>
  <c r="AV206" s="1"/>
  <c r="AM206"/>
  <c r="AB206"/>
  <c r="AA206"/>
  <c r="AF206" s="1"/>
  <c r="U206"/>
  <c r="P206"/>
  <c r="O206"/>
  <c r="AX206" s="1"/>
  <c r="BC205"/>
  <c r="AU205"/>
  <c r="AR205"/>
  <c r="AQ205"/>
  <c r="AV205" s="1"/>
  <c r="AM205"/>
  <c r="AB205"/>
  <c r="AA205"/>
  <c r="AF205" s="1"/>
  <c r="U205"/>
  <c r="P205"/>
  <c r="O205"/>
  <c r="AX205" s="1"/>
  <c r="BC204"/>
  <c r="AU204"/>
  <c r="AR204"/>
  <c r="AQ204"/>
  <c r="AV204" s="1"/>
  <c r="AM204"/>
  <c r="AB204"/>
  <c r="AA204"/>
  <c r="AF204" s="1"/>
  <c r="U204"/>
  <c r="P204"/>
  <c r="O204"/>
  <c r="AX204" s="1"/>
  <c r="BC203"/>
  <c r="AU203"/>
  <c r="AR203"/>
  <c r="AQ203"/>
  <c r="AV203" s="1"/>
  <c r="AM203"/>
  <c r="AB203"/>
  <c r="AA203"/>
  <c r="AF203" s="1"/>
  <c r="U203"/>
  <c r="P203"/>
  <c r="O203"/>
  <c r="AX203" s="1"/>
  <c r="BC202"/>
  <c r="AU202"/>
  <c r="AR202"/>
  <c r="AQ202"/>
  <c r="AV202" s="1"/>
  <c r="AM202"/>
  <c r="AB202"/>
  <c r="AA202"/>
  <c r="AF202" s="1"/>
  <c r="U202"/>
  <c r="P202"/>
  <c r="O202"/>
  <c r="AX202" s="1"/>
  <c r="BC201"/>
  <c r="AU201"/>
  <c r="AR201"/>
  <c r="AQ201"/>
  <c r="AV201" s="1"/>
  <c r="AM201"/>
  <c r="AB201"/>
  <c r="AA201"/>
  <c r="AF201" s="1"/>
  <c r="U201"/>
  <c r="P201"/>
  <c r="O201"/>
  <c r="AX201" s="1"/>
  <c r="BC200"/>
  <c r="AU200"/>
  <c r="AR200"/>
  <c r="AQ200"/>
  <c r="AV200" s="1"/>
  <c r="AM200"/>
  <c r="AB200"/>
  <c r="AA200"/>
  <c r="AF200" s="1"/>
  <c r="U200"/>
  <c r="P200"/>
  <c r="O200"/>
  <c r="AX200" s="1"/>
  <c r="BC199"/>
  <c r="AU199"/>
  <c r="AR199"/>
  <c r="AQ199"/>
  <c r="AV199" s="1"/>
  <c r="AM199"/>
  <c r="AB199"/>
  <c r="AA199"/>
  <c r="AF199" s="1"/>
  <c r="U199"/>
  <c r="P199"/>
  <c r="O199"/>
  <c r="AX199" s="1"/>
  <c r="BC198"/>
  <c r="AU198"/>
  <c r="AR198"/>
  <c r="AQ198"/>
  <c r="AV198" s="1"/>
  <c r="AM198"/>
  <c r="AB198"/>
  <c r="AA198"/>
  <c r="AF198" s="1"/>
  <c r="U198"/>
  <c r="P198"/>
  <c r="O198"/>
  <c r="AX198" s="1"/>
  <c r="BC197"/>
  <c r="AU197"/>
  <c r="AR197"/>
  <c r="AQ197"/>
  <c r="AV197" s="1"/>
  <c r="AM197"/>
  <c r="AB197"/>
  <c r="AA197"/>
  <c r="AF197" s="1"/>
  <c r="U197"/>
  <c r="P197"/>
  <c r="O197"/>
  <c r="AX197" s="1"/>
  <c r="BC196"/>
  <c r="AU196"/>
  <c r="AR196"/>
  <c r="AQ196"/>
  <c r="AV196" s="1"/>
  <c r="AM196"/>
  <c r="AB196"/>
  <c r="AA196"/>
  <c r="AF196" s="1"/>
  <c r="U196"/>
  <c r="P196"/>
  <c r="O196"/>
  <c r="AX196" s="1"/>
  <c r="BC195"/>
  <c r="AU195"/>
  <c r="AR195"/>
  <c r="AQ195"/>
  <c r="AV195" s="1"/>
  <c r="AM195"/>
  <c r="AB195"/>
  <c r="AA195"/>
  <c r="AF195" s="1"/>
  <c r="U195"/>
  <c r="P195"/>
  <c r="O195"/>
  <c r="AX195" s="1"/>
  <c r="BC194"/>
  <c r="AU194"/>
  <c r="AR194"/>
  <c r="AQ194"/>
  <c r="AV194" s="1"/>
  <c r="AM194"/>
  <c r="AB194"/>
  <c r="AA194"/>
  <c r="AF194" s="1"/>
  <c r="U194"/>
  <c r="P194"/>
  <c r="O194"/>
  <c r="AX194" s="1"/>
  <c r="BC193"/>
  <c r="AU193"/>
  <c r="AR193"/>
  <c r="AQ193"/>
  <c r="AV193" s="1"/>
  <c r="AM193"/>
  <c r="AB193"/>
  <c r="AA193"/>
  <c r="AF193" s="1"/>
  <c r="U193"/>
  <c r="P193"/>
  <c r="O193"/>
  <c r="AX193" s="1"/>
  <c r="BC192"/>
  <c r="AU192"/>
  <c r="AR192"/>
  <c r="AQ192"/>
  <c r="AV192" s="1"/>
  <c r="AM192"/>
  <c r="AB192"/>
  <c r="AA192"/>
  <c r="AF192" s="1"/>
  <c r="U192"/>
  <c r="P192"/>
  <c r="O192"/>
  <c r="AX192" s="1"/>
  <c r="BC191"/>
  <c r="AU191"/>
  <c r="AR191"/>
  <c r="AQ191"/>
  <c r="AV191" s="1"/>
  <c r="AM191"/>
  <c r="AB191"/>
  <c r="AA191"/>
  <c r="AF191" s="1"/>
  <c r="U191"/>
  <c r="P191"/>
  <c r="O191"/>
  <c r="AX191" s="1"/>
  <c r="BC190"/>
  <c r="AU190"/>
  <c r="AR190"/>
  <c r="AQ190"/>
  <c r="AV190" s="1"/>
  <c r="AM190"/>
  <c r="AB190"/>
  <c r="AA190"/>
  <c r="AF190" s="1"/>
  <c r="U190"/>
  <c r="P190"/>
  <c r="O190"/>
  <c r="AX190" s="1"/>
  <c r="BC189"/>
  <c r="AU189"/>
  <c r="AR189"/>
  <c r="AQ189"/>
  <c r="AV189" s="1"/>
  <c r="AM189"/>
  <c r="AB189"/>
  <c r="AA189"/>
  <c r="AF189" s="1"/>
  <c r="U189"/>
  <c r="P189"/>
  <c r="O189"/>
  <c r="AX189" s="1"/>
  <c r="BC188"/>
  <c r="AU188"/>
  <c r="AR188"/>
  <c r="AQ188"/>
  <c r="AV188" s="1"/>
  <c r="AM188"/>
  <c r="AB188"/>
  <c r="AA188"/>
  <c r="AF188" s="1"/>
  <c r="U188"/>
  <c r="P188"/>
  <c r="O188"/>
  <c r="AX188" s="1"/>
  <c r="BC187"/>
  <c r="AU187"/>
  <c r="AR187"/>
  <c r="AQ187"/>
  <c r="AV187" s="1"/>
  <c r="AM187"/>
  <c r="AB187"/>
  <c r="AA187"/>
  <c r="AF187" s="1"/>
  <c r="U187"/>
  <c r="P187"/>
  <c r="O187"/>
  <c r="AX187" s="1"/>
  <c r="BC186"/>
  <c r="AU186"/>
  <c r="AR186"/>
  <c r="AQ186"/>
  <c r="AV186" s="1"/>
  <c r="AM186"/>
  <c r="AB186"/>
  <c r="AA186"/>
  <c r="AF186" s="1"/>
  <c r="U186"/>
  <c r="P186"/>
  <c r="O186"/>
  <c r="AX186" s="1"/>
  <c r="BC185"/>
  <c r="AU185"/>
  <c r="AR185"/>
  <c r="AQ185"/>
  <c r="AV185" s="1"/>
  <c r="AM185"/>
  <c r="AB185"/>
  <c r="AA185"/>
  <c r="AF185" s="1"/>
  <c r="U185"/>
  <c r="P185"/>
  <c r="O185"/>
  <c r="AX185" s="1"/>
  <c r="BA185" s="1"/>
  <c r="BB185" s="1"/>
  <c r="BD185" s="1"/>
  <c r="BC184"/>
  <c r="AU184"/>
  <c r="AR184"/>
  <c r="AQ184"/>
  <c r="AV184" s="1"/>
  <c r="AM184"/>
  <c r="AB184"/>
  <c r="AA184"/>
  <c r="AF184" s="1"/>
  <c r="U184"/>
  <c r="P184"/>
  <c r="O184"/>
  <c r="AX184" s="1"/>
  <c r="BC183"/>
  <c r="AU183"/>
  <c r="AR183"/>
  <c r="AQ183"/>
  <c r="AV183" s="1"/>
  <c r="AM183"/>
  <c r="AB183"/>
  <c r="AA183"/>
  <c r="AF183" s="1"/>
  <c r="U183"/>
  <c r="P183"/>
  <c r="O183"/>
  <c r="AX183" s="1"/>
  <c r="BC182"/>
  <c r="AU182"/>
  <c r="AR182"/>
  <c r="AQ182"/>
  <c r="AV182" s="1"/>
  <c r="AM182"/>
  <c r="AB182"/>
  <c r="AA182"/>
  <c r="AF182" s="1"/>
  <c r="U182"/>
  <c r="P182"/>
  <c r="O182"/>
  <c r="AX182" s="1"/>
  <c r="BC181"/>
  <c r="AU181"/>
  <c r="AR181"/>
  <c r="AQ181"/>
  <c r="AV181" s="1"/>
  <c r="AM181"/>
  <c r="AB181"/>
  <c r="AA181"/>
  <c r="AF181" s="1"/>
  <c r="U181"/>
  <c r="P181"/>
  <c r="O181"/>
  <c r="AX181" s="1"/>
  <c r="BC180"/>
  <c r="AU180"/>
  <c r="AR180"/>
  <c r="AQ180"/>
  <c r="AV180" s="1"/>
  <c r="AM180"/>
  <c r="AB180"/>
  <c r="AA180"/>
  <c r="AF180" s="1"/>
  <c r="U180"/>
  <c r="P180"/>
  <c r="O180"/>
  <c r="AX180" s="1"/>
  <c r="BC179"/>
  <c r="AU179"/>
  <c r="AR179"/>
  <c r="AQ179"/>
  <c r="AV179" s="1"/>
  <c r="AM179"/>
  <c r="AF179"/>
  <c r="AB179"/>
  <c r="AA179"/>
  <c r="AG179" s="1"/>
  <c r="U179"/>
  <c r="P179"/>
  <c r="O179"/>
  <c r="AX179" s="1"/>
  <c r="BC178"/>
  <c r="AU178"/>
  <c r="AR178"/>
  <c r="AQ178"/>
  <c r="AV178" s="1"/>
  <c r="AM178"/>
  <c r="AB178"/>
  <c r="AA178"/>
  <c r="AG178" s="1"/>
  <c r="U178"/>
  <c r="P178"/>
  <c r="O178"/>
  <c r="AX178" s="1"/>
  <c r="BC177"/>
  <c r="AU177"/>
  <c r="AR177"/>
  <c r="AQ177"/>
  <c r="AV177" s="1"/>
  <c r="AM177"/>
  <c r="AF177"/>
  <c r="AB177"/>
  <c r="AA177"/>
  <c r="AG177" s="1"/>
  <c r="U177"/>
  <c r="P177"/>
  <c r="O177"/>
  <c r="AX177" s="1"/>
  <c r="BC176"/>
  <c r="AU176"/>
  <c r="AR176"/>
  <c r="AQ176"/>
  <c r="AV176" s="1"/>
  <c r="AM176"/>
  <c r="AB176"/>
  <c r="AA176"/>
  <c r="AG176" s="1"/>
  <c r="U176"/>
  <c r="P176"/>
  <c r="O176"/>
  <c r="AX176" s="1"/>
  <c r="BC175"/>
  <c r="AU175"/>
  <c r="AR175"/>
  <c r="AQ175"/>
  <c r="AV175" s="1"/>
  <c r="AM175"/>
  <c r="AF175"/>
  <c r="AB175"/>
  <c r="AA175"/>
  <c r="AG175" s="1"/>
  <c r="U175"/>
  <c r="P175"/>
  <c r="O175"/>
  <c r="AX175" s="1"/>
  <c r="BC174"/>
  <c r="AU174"/>
  <c r="AR174"/>
  <c r="AQ174"/>
  <c r="AV174" s="1"/>
  <c r="AM174"/>
  <c r="AB174"/>
  <c r="AA174"/>
  <c r="AG174" s="1"/>
  <c r="U174"/>
  <c r="P174"/>
  <c r="O174"/>
  <c r="AX174" s="1"/>
  <c r="BC173"/>
  <c r="AU173"/>
  <c r="AR173"/>
  <c r="AQ173"/>
  <c r="AV173" s="1"/>
  <c r="AM173"/>
  <c r="AF173"/>
  <c r="AB173"/>
  <c r="AA173"/>
  <c r="AG173" s="1"/>
  <c r="U173"/>
  <c r="P173"/>
  <c r="O173"/>
  <c r="AX173" s="1"/>
  <c r="BC172"/>
  <c r="AU172"/>
  <c r="AR172"/>
  <c r="AQ172"/>
  <c r="AV172" s="1"/>
  <c r="AM172"/>
  <c r="AB172"/>
  <c r="AA172"/>
  <c r="AG172" s="1"/>
  <c r="U172"/>
  <c r="P172"/>
  <c r="O172"/>
  <c r="AX172" s="1"/>
  <c r="BC171"/>
  <c r="AU171"/>
  <c r="AR171"/>
  <c r="AQ171"/>
  <c r="AV171" s="1"/>
  <c r="AM171"/>
  <c r="AF171"/>
  <c r="AB171"/>
  <c r="AA171"/>
  <c r="AG171" s="1"/>
  <c r="U171"/>
  <c r="P171"/>
  <c r="O171"/>
  <c r="AX171" s="1"/>
  <c r="BC170"/>
  <c r="AU170"/>
  <c r="AR170"/>
  <c r="AQ170"/>
  <c r="AV170" s="1"/>
  <c r="AM170"/>
  <c r="AB170"/>
  <c r="AA170"/>
  <c r="AG170" s="1"/>
  <c r="U170"/>
  <c r="P170"/>
  <c r="O170"/>
  <c r="AX170" s="1"/>
  <c r="BC169"/>
  <c r="AU169"/>
  <c r="AR169"/>
  <c r="AQ169"/>
  <c r="AV169" s="1"/>
  <c r="AM169"/>
  <c r="AF169"/>
  <c r="AB169"/>
  <c r="AA169"/>
  <c r="AG169" s="1"/>
  <c r="U169"/>
  <c r="P169"/>
  <c r="O169"/>
  <c r="AX169" s="1"/>
  <c r="BC168"/>
  <c r="AU168"/>
  <c r="AR168"/>
  <c r="AQ168"/>
  <c r="AV168" s="1"/>
  <c r="AM168"/>
  <c r="AB168"/>
  <c r="AA168"/>
  <c r="AG168" s="1"/>
  <c r="U168"/>
  <c r="P168"/>
  <c r="O168"/>
  <c r="AX168" s="1"/>
  <c r="AU167"/>
  <c r="AR167"/>
  <c r="AQ167"/>
  <c r="AV167" s="1"/>
  <c r="AB167"/>
  <c r="AA167"/>
  <c r="AG167" s="1"/>
  <c r="U167"/>
  <c r="P167"/>
  <c r="O167"/>
  <c r="AX167" s="1"/>
  <c r="BC166"/>
  <c r="AU166"/>
  <c r="AR166"/>
  <c r="AQ166"/>
  <c r="AV166" s="1"/>
  <c r="AM166"/>
  <c r="AF166"/>
  <c r="AB166"/>
  <c r="AA166"/>
  <c r="AG166" s="1"/>
  <c r="U166"/>
  <c r="P166"/>
  <c r="O166"/>
  <c r="AX166" s="1"/>
  <c r="BC165"/>
  <c r="AU165"/>
  <c r="AR165"/>
  <c r="AQ165"/>
  <c r="AV165" s="1"/>
  <c r="AM165"/>
  <c r="AB165"/>
  <c r="AA165"/>
  <c r="AG165" s="1"/>
  <c r="U165"/>
  <c r="P165"/>
  <c r="O165"/>
  <c r="AX165" s="1"/>
  <c r="BC164"/>
  <c r="AU164"/>
  <c r="AR164"/>
  <c r="AQ164"/>
  <c r="AV164" s="1"/>
  <c r="AM164"/>
  <c r="AF164"/>
  <c r="AB164"/>
  <c r="AA164"/>
  <c r="AG164" s="1"/>
  <c r="U164"/>
  <c r="P164"/>
  <c r="O164"/>
  <c r="AX164" s="1"/>
  <c r="BC163"/>
  <c r="AU163"/>
  <c r="AR163"/>
  <c r="AQ163"/>
  <c r="AV163" s="1"/>
  <c r="AM163"/>
  <c r="AB163"/>
  <c r="AA163"/>
  <c r="AG163" s="1"/>
  <c r="U163"/>
  <c r="P163"/>
  <c r="O163"/>
  <c r="AX163" s="1"/>
  <c r="BC162"/>
  <c r="AU162"/>
  <c r="AR162"/>
  <c r="AQ162"/>
  <c r="AV162" s="1"/>
  <c r="AM162"/>
  <c r="AF162"/>
  <c r="AB162"/>
  <c r="AA162"/>
  <c r="AG162" s="1"/>
  <c r="U162"/>
  <c r="P162"/>
  <c r="O162"/>
  <c r="AX162" s="1"/>
  <c r="BC161"/>
  <c r="AU161"/>
  <c r="AR161"/>
  <c r="AQ161"/>
  <c r="AV161" s="1"/>
  <c r="AM161"/>
  <c r="AB161"/>
  <c r="AA161"/>
  <c r="AG161" s="1"/>
  <c r="U161"/>
  <c r="P161"/>
  <c r="O161"/>
  <c r="AX161" s="1"/>
  <c r="BC160"/>
  <c r="AU160"/>
  <c r="AR160"/>
  <c r="AQ160"/>
  <c r="AV160" s="1"/>
  <c r="AM160"/>
  <c r="AF160"/>
  <c r="AB160"/>
  <c r="AA160"/>
  <c r="AG160" s="1"/>
  <c r="U160"/>
  <c r="P160"/>
  <c r="O160"/>
  <c r="AX160" s="1"/>
  <c r="BC159"/>
  <c r="AU159"/>
  <c r="AR159"/>
  <c r="AQ159"/>
  <c r="AV159" s="1"/>
  <c r="AM159"/>
  <c r="AB159"/>
  <c r="AA159"/>
  <c r="AG159" s="1"/>
  <c r="U159"/>
  <c r="P159"/>
  <c r="O159"/>
  <c r="AX159" s="1"/>
  <c r="BC158"/>
  <c r="AU158"/>
  <c r="AR158"/>
  <c r="AQ158"/>
  <c r="AV158" s="1"/>
  <c r="AM158"/>
  <c r="AF158"/>
  <c r="AB158"/>
  <c r="AA158"/>
  <c r="AG158" s="1"/>
  <c r="U158"/>
  <c r="P158"/>
  <c r="O158"/>
  <c r="AX158" s="1"/>
  <c r="BC157"/>
  <c r="AU157"/>
  <c r="AR157"/>
  <c r="AQ157"/>
  <c r="AV157" s="1"/>
  <c r="AM157"/>
  <c r="AB157"/>
  <c r="AA157"/>
  <c r="AG157" s="1"/>
  <c r="U157"/>
  <c r="P157"/>
  <c r="O157"/>
  <c r="AX157" s="1"/>
  <c r="BC156"/>
  <c r="AU156"/>
  <c r="AR156"/>
  <c r="AQ156"/>
  <c r="AV156" s="1"/>
  <c r="AM156"/>
  <c r="AF156"/>
  <c r="AB156"/>
  <c r="AA156"/>
  <c r="AG156" s="1"/>
  <c r="U156"/>
  <c r="P156"/>
  <c r="O156"/>
  <c r="AX156" s="1"/>
  <c r="BC155"/>
  <c r="AU155"/>
  <c r="AR155"/>
  <c r="AQ155"/>
  <c r="AV155" s="1"/>
  <c r="AM155"/>
  <c r="AB155"/>
  <c r="AA155"/>
  <c r="AG155" s="1"/>
  <c r="U155"/>
  <c r="P155"/>
  <c r="O155"/>
  <c r="AX155" s="1"/>
  <c r="BC154"/>
  <c r="AU154"/>
  <c r="AR154"/>
  <c r="AQ154"/>
  <c r="AV154" s="1"/>
  <c r="AM154"/>
  <c r="AF154"/>
  <c r="AB154"/>
  <c r="AA154"/>
  <c r="AG154" s="1"/>
  <c r="U154"/>
  <c r="P154"/>
  <c r="O154"/>
  <c r="AX154" s="1"/>
  <c r="BC153"/>
  <c r="AU153"/>
  <c r="AR153"/>
  <c r="AQ153"/>
  <c r="AV153" s="1"/>
  <c r="AM153"/>
  <c r="AB153"/>
  <c r="AA153"/>
  <c r="AG153" s="1"/>
  <c r="U153"/>
  <c r="P153"/>
  <c r="O153"/>
  <c r="AX153" s="1"/>
  <c r="BC152"/>
  <c r="AU152"/>
  <c r="AR152"/>
  <c r="AQ152"/>
  <c r="AV152" s="1"/>
  <c r="AM152"/>
  <c r="AF152"/>
  <c r="AB152"/>
  <c r="AA152"/>
  <c r="AG152" s="1"/>
  <c r="U152"/>
  <c r="P152"/>
  <c r="O152"/>
  <c r="AX152" s="1"/>
  <c r="BC151"/>
  <c r="AU151"/>
  <c r="AR151"/>
  <c r="AQ151"/>
  <c r="AV151" s="1"/>
  <c r="AM151"/>
  <c r="AB151"/>
  <c r="AA151"/>
  <c r="AG151" s="1"/>
  <c r="U151"/>
  <c r="P151"/>
  <c r="O151"/>
  <c r="AX151" s="1"/>
  <c r="BC150"/>
  <c r="AU150"/>
  <c r="AR150"/>
  <c r="AQ150"/>
  <c r="AV150" s="1"/>
  <c r="AM150"/>
  <c r="AF150"/>
  <c r="AB150"/>
  <c r="AA150"/>
  <c r="AG150" s="1"/>
  <c r="U150"/>
  <c r="P150"/>
  <c r="O150"/>
  <c r="AX150" s="1"/>
  <c r="BC149"/>
  <c r="AU149"/>
  <c r="AR149"/>
  <c r="AQ149"/>
  <c r="AV149" s="1"/>
  <c r="AM149"/>
  <c r="AB149"/>
  <c r="AA149"/>
  <c r="AG149" s="1"/>
  <c r="U149"/>
  <c r="P149"/>
  <c r="O149"/>
  <c r="AX149" s="1"/>
  <c r="BC148"/>
  <c r="AU148"/>
  <c r="AR148"/>
  <c r="AQ148"/>
  <c r="AV148" s="1"/>
  <c r="AM148"/>
  <c r="AF148"/>
  <c r="AB148"/>
  <c r="AA148"/>
  <c r="AG148" s="1"/>
  <c r="U148"/>
  <c r="P148"/>
  <c r="O148"/>
  <c r="AX148" s="1"/>
  <c r="BC147"/>
  <c r="AU147"/>
  <c r="AR147"/>
  <c r="AQ147"/>
  <c r="AV147" s="1"/>
  <c r="AM147"/>
  <c r="AB147"/>
  <c r="AA147"/>
  <c r="AG147" s="1"/>
  <c r="U147"/>
  <c r="P147"/>
  <c r="O147"/>
  <c r="AX147" s="1"/>
  <c r="BC146"/>
  <c r="AU146"/>
  <c r="AR146"/>
  <c r="AQ146"/>
  <c r="AV146" s="1"/>
  <c r="AM146"/>
  <c r="AF146"/>
  <c r="AB146"/>
  <c r="AA146"/>
  <c r="AG146" s="1"/>
  <c r="U146"/>
  <c r="P146"/>
  <c r="O146"/>
  <c r="AX146" s="1"/>
  <c r="BC145"/>
  <c r="AU145"/>
  <c r="AR145"/>
  <c r="AQ145"/>
  <c r="AV145" s="1"/>
  <c r="AM145"/>
  <c r="AB145"/>
  <c r="AA145"/>
  <c r="AG145" s="1"/>
  <c r="U145"/>
  <c r="P145"/>
  <c r="O145"/>
  <c r="AX145" s="1"/>
  <c r="BC144"/>
  <c r="AU144"/>
  <c r="AR144"/>
  <c r="AQ144"/>
  <c r="AX144" s="1"/>
  <c r="AM144"/>
  <c r="AF144"/>
  <c r="AB144"/>
  <c r="AA144"/>
  <c r="U144"/>
  <c r="P144"/>
  <c r="O144"/>
  <c r="AW144" s="1"/>
  <c r="BC143"/>
  <c r="AU143"/>
  <c r="AR143"/>
  <c r="AQ143"/>
  <c r="AX143" s="1"/>
  <c r="AM143"/>
  <c r="AB143"/>
  <c r="AA143"/>
  <c r="AF143" s="1"/>
  <c r="U143"/>
  <c r="P143"/>
  <c r="O143"/>
  <c r="AW143" s="1"/>
  <c r="BC142"/>
  <c r="AU142"/>
  <c r="AR142"/>
  <c r="AQ142"/>
  <c r="AX142" s="1"/>
  <c r="AM142"/>
  <c r="AF142"/>
  <c r="AB142"/>
  <c r="AA142"/>
  <c r="U142"/>
  <c r="P142"/>
  <c r="O142"/>
  <c r="AW142" s="1"/>
  <c r="BC141"/>
  <c r="AU141"/>
  <c r="AR141"/>
  <c r="AQ141"/>
  <c r="AX141" s="1"/>
  <c r="AM141"/>
  <c r="AB141"/>
  <c r="AA141"/>
  <c r="AF141" s="1"/>
  <c r="U141"/>
  <c r="P141"/>
  <c r="O141"/>
  <c r="AW141" s="1"/>
  <c r="BC140"/>
  <c r="AU140"/>
  <c r="AR140"/>
  <c r="AQ140"/>
  <c r="AX140" s="1"/>
  <c r="AM140"/>
  <c r="AF140"/>
  <c r="AB140"/>
  <c r="AA140"/>
  <c r="U140"/>
  <c r="P140"/>
  <c r="O140"/>
  <c r="AW140" s="1"/>
  <c r="BC139"/>
  <c r="AU139"/>
  <c r="AR139"/>
  <c r="AQ139"/>
  <c r="AX139" s="1"/>
  <c r="AM139"/>
  <c r="AB139"/>
  <c r="AA139"/>
  <c r="AF139" s="1"/>
  <c r="U139"/>
  <c r="P139"/>
  <c r="O139"/>
  <c r="AW139" s="1"/>
  <c r="BC138"/>
  <c r="AU138"/>
  <c r="AR138"/>
  <c r="AQ138"/>
  <c r="AX138" s="1"/>
  <c r="AM138"/>
  <c r="AF138"/>
  <c r="AB138"/>
  <c r="AA138"/>
  <c r="U138"/>
  <c r="P138"/>
  <c r="O138"/>
  <c r="AW138" s="1"/>
  <c r="BC137"/>
  <c r="AU137"/>
  <c r="AR137"/>
  <c r="AQ137"/>
  <c r="AX137" s="1"/>
  <c r="AM137"/>
  <c r="AB137"/>
  <c r="AA137"/>
  <c r="AF137" s="1"/>
  <c r="U137"/>
  <c r="P137"/>
  <c r="O137"/>
  <c r="AW137" s="1"/>
  <c r="BC136"/>
  <c r="AU136"/>
  <c r="AR136"/>
  <c r="AQ136"/>
  <c r="AX136" s="1"/>
  <c r="AM136"/>
  <c r="AF136"/>
  <c r="AB136"/>
  <c r="AA136"/>
  <c r="U136"/>
  <c r="P136"/>
  <c r="O136"/>
  <c r="AW136" s="1"/>
  <c r="BC135"/>
  <c r="AU135"/>
  <c r="AR135"/>
  <c r="AQ135"/>
  <c r="AX135" s="1"/>
  <c r="AM135"/>
  <c r="AB135"/>
  <c r="AA135"/>
  <c r="AF135" s="1"/>
  <c r="U135"/>
  <c r="P135"/>
  <c r="O135"/>
  <c r="AW135" s="1"/>
  <c r="BC134"/>
  <c r="AU134"/>
  <c r="AR134"/>
  <c r="AQ134"/>
  <c r="AX134" s="1"/>
  <c r="AM134"/>
  <c r="AF134"/>
  <c r="AB134"/>
  <c r="AA134"/>
  <c r="U134"/>
  <c r="P134"/>
  <c r="O134"/>
  <c r="AW134" s="1"/>
  <c r="BC133"/>
  <c r="AU133"/>
  <c r="AR133"/>
  <c r="AQ133"/>
  <c r="AX133" s="1"/>
  <c r="AM133"/>
  <c r="AB133"/>
  <c r="AA133"/>
  <c r="AF133" s="1"/>
  <c r="U133"/>
  <c r="P133"/>
  <c r="O133"/>
  <c r="AW133" s="1"/>
  <c r="BC132"/>
  <c r="AU132"/>
  <c r="AR132"/>
  <c r="AQ132"/>
  <c r="AX132" s="1"/>
  <c r="AM132"/>
  <c r="AF132"/>
  <c r="AB132"/>
  <c r="AA132"/>
  <c r="U132"/>
  <c r="P132"/>
  <c r="O132"/>
  <c r="AW132" s="1"/>
  <c r="BC131"/>
  <c r="AU131"/>
  <c r="AR131"/>
  <c r="AQ131"/>
  <c r="AX131" s="1"/>
  <c r="AM131"/>
  <c r="AB131"/>
  <c r="AA131"/>
  <c r="AF131" s="1"/>
  <c r="U131"/>
  <c r="P131"/>
  <c r="O131"/>
  <c r="AW131" s="1"/>
  <c r="BC130"/>
  <c r="AU130"/>
  <c r="AR130"/>
  <c r="AQ130"/>
  <c r="AX130" s="1"/>
  <c r="AM130"/>
  <c r="AF130"/>
  <c r="AB130"/>
  <c r="AA130"/>
  <c r="U130"/>
  <c r="P130"/>
  <c r="O130"/>
  <c r="AW130" s="1"/>
  <c r="BC129"/>
  <c r="AU129"/>
  <c r="AR129"/>
  <c r="AQ129"/>
  <c r="AX129" s="1"/>
  <c r="AM129"/>
  <c r="AB129"/>
  <c r="AA129"/>
  <c r="AF129" s="1"/>
  <c r="U129"/>
  <c r="P129"/>
  <c r="O129"/>
  <c r="AW129" s="1"/>
  <c r="BC128"/>
  <c r="AU128"/>
  <c r="AR128"/>
  <c r="AQ128"/>
  <c r="AX128" s="1"/>
  <c r="AM128"/>
  <c r="AF128"/>
  <c r="AB128"/>
  <c r="AA128"/>
  <c r="U128"/>
  <c r="P128"/>
  <c r="O128"/>
  <c r="AW128" s="1"/>
  <c r="BC127"/>
  <c r="AU127"/>
  <c r="AR127"/>
  <c r="AQ127"/>
  <c r="AX127" s="1"/>
  <c r="AM127"/>
  <c r="AB127"/>
  <c r="AA127"/>
  <c r="AF127" s="1"/>
  <c r="U127"/>
  <c r="P127"/>
  <c r="O127"/>
  <c r="AW127" s="1"/>
  <c r="BC126"/>
  <c r="AU126"/>
  <c r="AR126"/>
  <c r="AQ126"/>
  <c r="AX126" s="1"/>
  <c r="AM126"/>
  <c r="AF126"/>
  <c r="AB126"/>
  <c r="AA126"/>
  <c r="U126"/>
  <c r="P126"/>
  <c r="O126"/>
  <c r="AW126" s="1"/>
  <c r="BC125"/>
  <c r="AU125"/>
  <c r="AR125"/>
  <c r="AQ125"/>
  <c r="AX125" s="1"/>
  <c r="AM125"/>
  <c r="AB125"/>
  <c r="AA125"/>
  <c r="AF125" s="1"/>
  <c r="U125"/>
  <c r="P125"/>
  <c r="O125"/>
  <c r="AW125" s="1"/>
  <c r="BC124"/>
  <c r="AU124"/>
  <c r="AR124"/>
  <c r="AQ124"/>
  <c r="AX124" s="1"/>
  <c r="AM124"/>
  <c r="AF124"/>
  <c r="AB124"/>
  <c r="AA124"/>
  <c r="U124"/>
  <c r="P124"/>
  <c r="O124"/>
  <c r="AW124" s="1"/>
  <c r="BC123"/>
  <c r="AU123"/>
  <c r="AR123"/>
  <c r="AQ123"/>
  <c r="AX123" s="1"/>
  <c r="AM123"/>
  <c r="AB123"/>
  <c r="AA123"/>
  <c r="AF123" s="1"/>
  <c r="U123"/>
  <c r="P123"/>
  <c r="O123"/>
  <c r="AW123" s="1"/>
  <c r="BC122"/>
  <c r="AR122"/>
  <c r="AQ122"/>
  <c r="AU122" s="1"/>
  <c r="AM122"/>
  <c r="AB122"/>
  <c r="AA122"/>
  <c r="AE122" s="1"/>
  <c r="U122"/>
  <c r="P122"/>
  <c r="O122"/>
  <c r="AW122" s="1"/>
  <c r="BC121"/>
  <c r="AR121"/>
  <c r="AQ121"/>
  <c r="AU121" s="1"/>
  <c r="AM121"/>
  <c r="AB121"/>
  <c r="AA121"/>
  <c r="AE121" s="1"/>
  <c r="U121"/>
  <c r="P121"/>
  <c r="O121"/>
  <c r="AW121" s="1"/>
  <c r="BC120"/>
  <c r="AR120"/>
  <c r="AQ120"/>
  <c r="AU120" s="1"/>
  <c r="AM120"/>
  <c r="AB120"/>
  <c r="AA120"/>
  <c r="AE120" s="1"/>
  <c r="U120"/>
  <c r="P120"/>
  <c r="O120"/>
  <c r="AW120" s="1"/>
  <c r="BC119"/>
  <c r="AR119"/>
  <c r="AQ119"/>
  <c r="AU119" s="1"/>
  <c r="AM119"/>
  <c r="AB119"/>
  <c r="AA119"/>
  <c r="AE119" s="1"/>
  <c r="U119"/>
  <c r="P119"/>
  <c r="O119"/>
  <c r="AW119" s="1"/>
  <c r="BC118"/>
  <c r="AR118"/>
  <c r="AQ118"/>
  <c r="AU118" s="1"/>
  <c r="AM118"/>
  <c r="AB118"/>
  <c r="AA118"/>
  <c r="AE118" s="1"/>
  <c r="U118"/>
  <c r="P118"/>
  <c r="O118"/>
  <c r="AW118" s="1"/>
  <c r="BC117"/>
  <c r="AR117"/>
  <c r="AQ117"/>
  <c r="AU117" s="1"/>
  <c r="AM117"/>
  <c r="AB117"/>
  <c r="AA117"/>
  <c r="AE117" s="1"/>
  <c r="U117"/>
  <c r="P117"/>
  <c r="O117"/>
  <c r="AW117" s="1"/>
  <c r="AR116"/>
  <c r="AQ116"/>
  <c r="AU116" s="1"/>
  <c r="AG116"/>
  <c r="AB116"/>
  <c r="AA116"/>
  <c r="V116"/>
  <c r="U116"/>
  <c r="P116"/>
  <c r="O116"/>
  <c r="BC115"/>
  <c r="AV115"/>
  <c r="AR115"/>
  <c r="AQ115"/>
  <c r="AM115"/>
  <c r="AG115"/>
  <c r="AB115"/>
  <c r="AA115"/>
  <c r="V115"/>
  <c r="U115"/>
  <c r="P115"/>
  <c r="O115"/>
  <c r="AW115" s="1"/>
  <c r="BC114"/>
  <c r="AV114"/>
  <c r="AR114"/>
  <c r="AQ114"/>
  <c r="AM114"/>
  <c r="AG114"/>
  <c r="AB114"/>
  <c r="AA114"/>
  <c r="V114"/>
  <c r="U114"/>
  <c r="P114"/>
  <c r="O114"/>
  <c r="AW114" s="1"/>
  <c r="BC113"/>
  <c r="AV113"/>
  <c r="AR113"/>
  <c r="AQ113"/>
  <c r="AM113"/>
  <c r="AG113"/>
  <c r="AB113"/>
  <c r="AA113"/>
  <c r="V113"/>
  <c r="U113"/>
  <c r="P113"/>
  <c r="O113"/>
  <c r="AW113" s="1"/>
  <c r="BC112"/>
  <c r="AV112"/>
  <c r="AR112"/>
  <c r="AQ112"/>
  <c r="AM112"/>
  <c r="AB112"/>
  <c r="AA112"/>
  <c r="AG112" s="1"/>
  <c r="U112"/>
  <c r="V112" s="1"/>
  <c r="P112"/>
  <c r="O112"/>
  <c r="AW112" s="1"/>
  <c r="BC111"/>
  <c r="AX111"/>
  <c r="AU111"/>
  <c r="AR111"/>
  <c r="AQ111"/>
  <c r="AV111" s="1"/>
  <c r="AM111"/>
  <c r="AF111"/>
  <c r="AB111"/>
  <c r="AA111"/>
  <c r="AE111" s="1"/>
  <c r="U111"/>
  <c r="P111"/>
  <c r="AT111" s="1"/>
  <c r="O111"/>
  <c r="AW111" s="1"/>
  <c r="BC110"/>
  <c r="AX110"/>
  <c r="AU110"/>
  <c r="AR110"/>
  <c r="AQ110"/>
  <c r="AM110"/>
  <c r="AB110"/>
  <c r="AA110"/>
  <c r="AG110" s="1"/>
  <c r="U110"/>
  <c r="V110" s="1"/>
  <c r="P110"/>
  <c r="O110"/>
  <c r="AW110" s="1"/>
  <c r="BC109"/>
  <c r="AX109"/>
  <c r="AU109"/>
  <c r="AR109"/>
  <c r="AQ109"/>
  <c r="AV109" s="1"/>
  <c r="AM109"/>
  <c r="AF109"/>
  <c r="AB109"/>
  <c r="AA109"/>
  <c r="AE109" s="1"/>
  <c r="U109"/>
  <c r="P109"/>
  <c r="AT109" s="1"/>
  <c r="AY109" s="1"/>
  <c r="O109"/>
  <c r="AW109" s="1"/>
  <c r="BC108"/>
  <c r="AX108"/>
  <c r="AU108"/>
  <c r="AR108"/>
  <c r="AQ108"/>
  <c r="AM108"/>
  <c r="AB108"/>
  <c r="AA108"/>
  <c r="AG108" s="1"/>
  <c r="U108"/>
  <c r="V108" s="1"/>
  <c r="P108"/>
  <c r="O108"/>
  <c r="AW108" s="1"/>
  <c r="BC107"/>
  <c r="AX107"/>
  <c r="AU107"/>
  <c r="AR107"/>
  <c r="AQ107"/>
  <c r="AV107" s="1"/>
  <c r="AM107"/>
  <c r="AF107"/>
  <c r="AB107"/>
  <c r="AA107"/>
  <c r="AE107" s="1"/>
  <c r="U107"/>
  <c r="P107"/>
  <c r="AT107" s="1"/>
  <c r="AY107" s="1"/>
  <c r="O107"/>
  <c r="AW107" s="1"/>
  <c r="BC106"/>
  <c r="AX106"/>
  <c r="AU106"/>
  <c r="AR106"/>
  <c r="AQ106"/>
  <c r="AM106"/>
  <c r="AB106"/>
  <c r="AA106"/>
  <c r="AG106" s="1"/>
  <c r="U106"/>
  <c r="V106" s="1"/>
  <c r="P106"/>
  <c r="O106"/>
  <c r="AW106" s="1"/>
  <c r="BC105"/>
  <c r="AR105"/>
  <c r="AQ105"/>
  <c r="AM105"/>
  <c r="AB105"/>
  <c r="AA105"/>
  <c r="P105"/>
  <c r="O105"/>
  <c r="AW105" s="1"/>
  <c r="BC104"/>
  <c r="AR104"/>
  <c r="AQ104"/>
  <c r="AM104"/>
  <c r="AB104"/>
  <c r="AA104"/>
  <c r="P104"/>
  <c r="O104"/>
  <c r="AV104" s="1"/>
  <c r="BC103"/>
  <c r="AR103"/>
  <c r="AQ103"/>
  <c r="AM103"/>
  <c r="AB103"/>
  <c r="AA103"/>
  <c r="P103"/>
  <c r="O103"/>
  <c r="AV103" s="1"/>
  <c r="BC102"/>
  <c r="AR102"/>
  <c r="AQ102"/>
  <c r="AM102"/>
  <c r="AB102"/>
  <c r="AA102"/>
  <c r="P102"/>
  <c r="O102"/>
  <c r="AV102" s="1"/>
  <c r="BC101"/>
  <c r="AR101"/>
  <c r="AQ101"/>
  <c r="AM101"/>
  <c r="AB101"/>
  <c r="AA101"/>
  <c r="P101"/>
  <c r="O101"/>
  <c r="AV101" s="1"/>
  <c r="BC100"/>
  <c r="AR100"/>
  <c r="AQ100"/>
  <c r="AM100"/>
  <c r="AB100"/>
  <c r="AA100"/>
  <c r="P100"/>
  <c r="O100"/>
  <c r="AV100" s="1"/>
  <c r="BC99"/>
  <c r="AR99"/>
  <c r="AQ99"/>
  <c r="AM99"/>
  <c r="AB99"/>
  <c r="AA99"/>
  <c r="P99"/>
  <c r="O99"/>
  <c r="AV99" s="1"/>
  <c r="BC98"/>
  <c r="AR98"/>
  <c r="AQ98"/>
  <c r="AM98"/>
  <c r="AB98"/>
  <c r="AA98"/>
  <c r="P98"/>
  <c r="O98"/>
  <c r="AV98" s="1"/>
  <c r="BC97"/>
  <c r="AR97"/>
  <c r="AQ97"/>
  <c r="AM97"/>
  <c r="AB97"/>
  <c r="AA97"/>
  <c r="P97"/>
  <c r="O97"/>
  <c r="AV97" s="1"/>
  <c r="BC96"/>
  <c r="AR96"/>
  <c r="AQ96"/>
  <c r="AM96"/>
  <c r="AB96"/>
  <c r="AA96"/>
  <c r="P96"/>
  <c r="O96"/>
  <c r="AV96" s="1"/>
  <c r="BC95"/>
  <c r="AR95"/>
  <c r="AQ95"/>
  <c r="AM95"/>
  <c r="AB95"/>
  <c r="AA95"/>
  <c r="P95"/>
  <c r="O95"/>
  <c r="AV95" s="1"/>
  <c r="BC94"/>
  <c r="AR94"/>
  <c r="AQ94"/>
  <c r="AM94"/>
  <c r="AB94"/>
  <c r="AA94"/>
  <c r="P94"/>
  <c r="O94"/>
  <c r="AV94" s="1"/>
  <c r="BC93"/>
  <c r="AR93"/>
  <c r="AQ93"/>
  <c r="AM93"/>
  <c r="AB93"/>
  <c r="AA93"/>
  <c r="P93"/>
  <c r="O93"/>
  <c r="AV93" s="1"/>
  <c r="BC92"/>
  <c r="AR92"/>
  <c r="AQ92"/>
  <c r="AM92"/>
  <c r="AB92"/>
  <c r="AA92"/>
  <c r="P92"/>
  <c r="O92"/>
  <c r="AV92" s="1"/>
  <c r="BC91"/>
  <c r="AR91"/>
  <c r="AQ91"/>
  <c r="AM91"/>
  <c r="AB91"/>
  <c r="AA91"/>
  <c r="P91"/>
  <c r="O91"/>
  <c r="AV91" s="1"/>
  <c r="BC90"/>
  <c r="AR90"/>
  <c r="AQ90"/>
  <c r="AM90"/>
  <c r="AB90"/>
  <c r="AA90"/>
  <c r="P90"/>
  <c r="O90"/>
  <c r="AV90" s="1"/>
  <c r="BC89"/>
  <c r="AR89"/>
  <c r="AQ89"/>
  <c r="AM89"/>
  <c r="AB89"/>
  <c r="AA89"/>
  <c r="P89"/>
  <c r="O89"/>
  <c r="AV89" s="1"/>
  <c r="BC88"/>
  <c r="AR88"/>
  <c r="AQ88"/>
  <c r="AM88"/>
  <c r="AB88"/>
  <c r="AA88"/>
  <c r="P88"/>
  <c r="O88"/>
  <c r="AV88" s="1"/>
  <c r="BC87"/>
  <c r="AR87"/>
  <c r="AQ87"/>
  <c r="AM87"/>
  <c r="AB87"/>
  <c r="AA87"/>
  <c r="P87"/>
  <c r="O87"/>
  <c r="AV87" s="1"/>
  <c r="BC86"/>
  <c r="AR86"/>
  <c r="AQ86"/>
  <c r="AM86"/>
  <c r="AB86"/>
  <c r="AA86"/>
  <c r="P86"/>
  <c r="O86"/>
  <c r="AV86" s="1"/>
  <c r="BC85"/>
  <c r="AR85"/>
  <c r="AQ85"/>
  <c r="AM85"/>
  <c r="AB85"/>
  <c r="AA85"/>
  <c r="P85"/>
  <c r="O85"/>
  <c r="AV85" s="1"/>
  <c r="BC84"/>
  <c r="AR84"/>
  <c r="AQ84"/>
  <c r="AM84"/>
  <c r="AB84"/>
  <c r="AA84"/>
  <c r="P84"/>
  <c r="O84"/>
  <c r="AV84" s="1"/>
  <c r="BC83"/>
  <c r="AR83"/>
  <c r="AQ83"/>
  <c r="AM83"/>
  <c r="AB83"/>
  <c r="AA83"/>
  <c r="P83"/>
  <c r="O83"/>
  <c r="AV83" s="1"/>
  <c r="BC82"/>
  <c r="AR82"/>
  <c r="AQ82"/>
  <c r="AM82"/>
  <c r="AB82"/>
  <c r="AA82"/>
  <c r="P82"/>
  <c r="O82"/>
  <c r="AV82" s="1"/>
  <c r="BC81"/>
  <c r="AR81"/>
  <c r="AQ81"/>
  <c r="AM81"/>
  <c r="AB81"/>
  <c r="AA81"/>
  <c r="P81"/>
  <c r="O81"/>
  <c r="AV81" s="1"/>
  <c r="BC80"/>
  <c r="AR80"/>
  <c r="AQ80"/>
  <c r="AM80"/>
  <c r="AB80"/>
  <c r="AA80"/>
  <c r="P80"/>
  <c r="O80"/>
  <c r="AV80" s="1"/>
  <c r="BC79"/>
  <c r="AR79"/>
  <c r="AQ79"/>
  <c r="AM79"/>
  <c r="AB79"/>
  <c r="AA79"/>
  <c r="P79"/>
  <c r="O79"/>
  <c r="AV79" s="1"/>
  <c r="BC78"/>
  <c r="AR78"/>
  <c r="AQ78"/>
  <c r="AM78"/>
  <c r="AB78"/>
  <c r="AA78"/>
  <c r="P78"/>
  <c r="O78"/>
  <c r="AV78" s="1"/>
  <c r="BC77"/>
  <c r="AR77"/>
  <c r="AQ77"/>
  <c r="AM77"/>
  <c r="AB77"/>
  <c r="AA77"/>
  <c r="P77"/>
  <c r="O77"/>
  <c r="AV77" s="1"/>
  <c r="BC76"/>
  <c r="AR76"/>
  <c r="AQ76"/>
  <c r="AM76"/>
  <c r="AB76"/>
  <c r="AA76"/>
  <c r="P76"/>
  <c r="O76"/>
  <c r="AV76" s="1"/>
  <c r="BC75"/>
  <c r="AR75"/>
  <c r="AQ75"/>
  <c r="AM75"/>
  <c r="AB75"/>
  <c r="AA75"/>
  <c r="P75"/>
  <c r="O75"/>
  <c r="AV75" s="1"/>
  <c r="AR74"/>
  <c r="AQ74"/>
  <c r="AB74"/>
  <c r="AA74"/>
  <c r="P74"/>
  <c r="O74"/>
  <c r="AV74" s="1"/>
  <c r="BC73"/>
  <c r="AR73"/>
  <c r="AQ73"/>
  <c r="AM73"/>
  <c r="AB73"/>
  <c r="AA73"/>
  <c r="P73"/>
  <c r="O73"/>
  <c r="AV73" s="1"/>
  <c r="BC72"/>
  <c r="AR72"/>
  <c r="AQ72"/>
  <c r="AM72"/>
  <c r="AB72"/>
  <c r="AA72"/>
  <c r="P72"/>
  <c r="O72"/>
  <c r="AV72" s="1"/>
  <c r="BC71"/>
  <c r="AR71"/>
  <c r="AQ71"/>
  <c r="AM71"/>
  <c r="AB71"/>
  <c r="AA71"/>
  <c r="P71"/>
  <c r="O71"/>
  <c r="AV71" s="1"/>
  <c r="BC70"/>
  <c r="AR70"/>
  <c r="AQ70"/>
  <c r="AM70"/>
  <c r="AB70"/>
  <c r="AA70"/>
  <c r="P70"/>
  <c r="O70"/>
  <c r="AV70" s="1"/>
  <c r="BC69"/>
  <c r="AR69"/>
  <c r="AQ69"/>
  <c r="AM69"/>
  <c r="AB69"/>
  <c r="AA69"/>
  <c r="P69"/>
  <c r="O69"/>
  <c r="AV69" s="1"/>
  <c r="BC68"/>
  <c r="AR68"/>
  <c r="AQ68"/>
  <c r="AM68"/>
  <c r="AB68"/>
  <c r="AA68"/>
  <c r="P68"/>
  <c r="U68" s="1"/>
  <c r="O68"/>
  <c r="AV68" s="1"/>
  <c r="BC67"/>
  <c r="AR67"/>
  <c r="AQ67"/>
  <c r="AM67"/>
  <c r="AB67"/>
  <c r="AA67"/>
  <c r="P67"/>
  <c r="U67" s="1"/>
  <c r="O67"/>
  <c r="AV67" s="1"/>
  <c r="BC66"/>
  <c r="AR66"/>
  <c r="AQ66"/>
  <c r="AM66"/>
  <c r="AB66"/>
  <c r="AA66"/>
  <c r="P66"/>
  <c r="U66" s="1"/>
  <c r="O66"/>
  <c r="AV66" s="1"/>
  <c r="BC65"/>
  <c r="AR65"/>
  <c r="AQ65"/>
  <c r="AM65"/>
  <c r="AB65"/>
  <c r="AA65"/>
  <c r="P65"/>
  <c r="U65" s="1"/>
  <c r="O65"/>
  <c r="AV65" s="1"/>
  <c r="BC64"/>
  <c r="AR64"/>
  <c r="AQ64"/>
  <c r="AM64"/>
  <c r="AB64"/>
  <c r="AA64"/>
  <c r="P64"/>
  <c r="U64" s="1"/>
  <c r="O64"/>
  <c r="AV64" s="1"/>
  <c r="AR63"/>
  <c r="AQ63"/>
  <c r="AB63"/>
  <c r="AA63"/>
  <c r="P63"/>
  <c r="U63" s="1"/>
  <c r="O63"/>
  <c r="AV63" s="1"/>
  <c r="BC62"/>
  <c r="AR62"/>
  <c r="AQ62"/>
  <c r="AM62"/>
  <c r="AB62"/>
  <c r="AA62"/>
  <c r="P62"/>
  <c r="U62" s="1"/>
  <c r="O62"/>
  <c r="AV62" s="1"/>
  <c r="BC61"/>
  <c r="AR61"/>
  <c r="AQ61"/>
  <c r="AM61"/>
  <c r="AB61"/>
  <c r="AA61"/>
  <c r="P61"/>
  <c r="U61" s="1"/>
  <c r="O61"/>
  <c r="AV61" s="1"/>
  <c r="BC60"/>
  <c r="AR60"/>
  <c r="AQ60"/>
  <c r="AM60"/>
  <c r="AB60"/>
  <c r="AA60"/>
  <c r="P60"/>
  <c r="U60" s="1"/>
  <c r="O60"/>
  <c r="AV60" s="1"/>
  <c r="BC59"/>
  <c r="AR59"/>
  <c r="AQ59"/>
  <c r="AM59"/>
  <c r="AB59"/>
  <c r="AA59"/>
  <c r="P59"/>
  <c r="U59" s="1"/>
  <c r="O59"/>
  <c r="AV59" s="1"/>
  <c r="BC58"/>
  <c r="AR58"/>
  <c r="AQ58"/>
  <c r="AM58"/>
  <c r="AB58"/>
  <c r="AA58"/>
  <c r="P58"/>
  <c r="U58" s="1"/>
  <c r="O58"/>
  <c r="AV58" s="1"/>
  <c r="BC57"/>
  <c r="AR57"/>
  <c r="AQ57"/>
  <c r="AM57"/>
  <c r="AB57"/>
  <c r="AA57"/>
  <c r="P57"/>
  <c r="U57" s="1"/>
  <c r="O57"/>
  <c r="AV57" s="1"/>
  <c r="BC56"/>
  <c r="AR56"/>
  <c r="AQ56"/>
  <c r="AM56"/>
  <c r="AB56"/>
  <c r="AA56"/>
  <c r="P56"/>
  <c r="U56" s="1"/>
  <c r="O56"/>
  <c r="AV56" s="1"/>
  <c r="BC55"/>
  <c r="AR55"/>
  <c r="AQ55"/>
  <c r="AM55"/>
  <c r="AB55"/>
  <c r="AA55"/>
  <c r="P55"/>
  <c r="U55" s="1"/>
  <c r="O55"/>
  <c r="AV55" s="1"/>
  <c r="BC54"/>
  <c r="AR54"/>
  <c r="AQ54"/>
  <c r="AM54"/>
  <c r="AB54"/>
  <c r="AA54"/>
  <c r="P54"/>
  <c r="U54" s="1"/>
  <c r="O54"/>
  <c r="AV54" s="1"/>
  <c r="BC53"/>
  <c r="AR53"/>
  <c r="AQ53"/>
  <c r="AM53"/>
  <c r="AB53"/>
  <c r="AA53"/>
  <c r="P53"/>
  <c r="U53" s="1"/>
  <c r="O53"/>
  <c r="AV53" s="1"/>
  <c r="BC52"/>
  <c r="AR52"/>
  <c r="AQ52"/>
  <c r="AM52"/>
  <c r="AB52"/>
  <c r="AA52"/>
  <c r="P52"/>
  <c r="U52" s="1"/>
  <c r="O52"/>
  <c r="AV52" s="1"/>
  <c r="BC51"/>
  <c r="AR51"/>
  <c r="AQ51"/>
  <c r="AM51"/>
  <c r="AB51"/>
  <c r="AA51"/>
  <c r="P51"/>
  <c r="U51" s="1"/>
  <c r="O51"/>
  <c r="AV51" s="1"/>
  <c r="BC50"/>
  <c r="AR50"/>
  <c r="AQ50"/>
  <c r="AM50"/>
  <c r="AB50"/>
  <c r="AA50"/>
  <c r="P50"/>
  <c r="U50" s="1"/>
  <c r="O50"/>
  <c r="AV50" s="1"/>
  <c r="BC49"/>
  <c r="AR49"/>
  <c r="AQ49"/>
  <c r="AM49"/>
  <c r="AB49"/>
  <c r="AA49"/>
  <c r="P49"/>
  <c r="U49" s="1"/>
  <c r="O49"/>
  <c r="AV49" s="1"/>
  <c r="BC48"/>
  <c r="AR48"/>
  <c r="AQ48"/>
  <c r="AM48"/>
  <c r="AB48"/>
  <c r="AA48"/>
  <c r="P48"/>
  <c r="U48" s="1"/>
  <c r="O48"/>
  <c r="AV48" s="1"/>
  <c r="BC47"/>
  <c r="AR47"/>
  <c r="AQ47"/>
  <c r="AM47"/>
  <c r="AB47"/>
  <c r="AA47"/>
  <c r="P47"/>
  <c r="U47" s="1"/>
  <c r="O47"/>
  <c r="AV47" s="1"/>
  <c r="BC46"/>
  <c r="AR46"/>
  <c r="AQ46"/>
  <c r="AM46"/>
  <c r="AB46"/>
  <c r="AA46"/>
  <c r="P46"/>
  <c r="U46" s="1"/>
  <c r="O46"/>
  <c r="AV46" s="1"/>
  <c r="BC45"/>
  <c r="AR45"/>
  <c r="AQ45"/>
  <c r="AM45"/>
  <c r="AB45"/>
  <c r="AA45"/>
  <c r="P45"/>
  <c r="U45" s="1"/>
  <c r="O45"/>
  <c r="AV45" s="1"/>
  <c r="BC44"/>
  <c r="AR44"/>
  <c r="AQ44"/>
  <c r="AM44"/>
  <c r="AB44"/>
  <c r="AA44"/>
  <c r="P44"/>
  <c r="U44" s="1"/>
  <c r="O44"/>
  <c r="AV44" s="1"/>
  <c r="BC43"/>
  <c r="AR43"/>
  <c r="AQ43"/>
  <c r="AM43"/>
  <c r="AB43"/>
  <c r="AA43"/>
  <c r="P43"/>
  <c r="U43" s="1"/>
  <c r="O43"/>
  <c r="AV43" s="1"/>
  <c r="BC42"/>
  <c r="AR42"/>
  <c r="AQ42"/>
  <c r="AM42"/>
  <c r="AB42"/>
  <c r="AA42"/>
  <c r="P42"/>
  <c r="U42" s="1"/>
  <c r="O42"/>
  <c r="AV42" s="1"/>
  <c r="BC41"/>
  <c r="AR41"/>
  <c r="AQ41"/>
  <c r="AM41"/>
  <c r="AB41"/>
  <c r="AA41"/>
  <c r="P41"/>
  <c r="U41" s="1"/>
  <c r="O41"/>
  <c r="AV41" s="1"/>
  <c r="BC40"/>
  <c r="AR40"/>
  <c r="AQ40"/>
  <c r="AM40"/>
  <c r="AB40"/>
  <c r="AA40"/>
  <c r="P40"/>
  <c r="U40" s="1"/>
  <c r="O40"/>
  <c r="AV40" s="1"/>
  <c r="BC39"/>
  <c r="AR39"/>
  <c r="AQ39"/>
  <c r="AM39"/>
  <c r="AB39"/>
  <c r="AA39"/>
  <c r="P39"/>
  <c r="U39" s="1"/>
  <c r="O39"/>
  <c r="AV39" s="1"/>
  <c r="BC38"/>
  <c r="AR38"/>
  <c r="AQ38"/>
  <c r="AM38"/>
  <c r="AB38"/>
  <c r="AA38"/>
  <c r="P38"/>
  <c r="U38" s="1"/>
  <c r="O38"/>
  <c r="AV38" s="1"/>
  <c r="BC37"/>
  <c r="AR37"/>
  <c r="AQ37"/>
  <c r="AM37"/>
  <c r="AB37"/>
  <c r="AA37"/>
  <c r="P37"/>
  <c r="U37" s="1"/>
  <c r="O37"/>
  <c r="AV37" s="1"/>
  <c r="BC36"/>
  <c r="AR36"/>
  <c r="AQ36"/>
  <c r="AM36"/>
  <c r="AB36"/>
  <c r="AA36"/>
  <c r="P36"/>
  <c r="U36" s="1"/>
  <c r="O36"/>
  <c r="AV36" s="1"/>
  <c r="BC35"/>
  <c r="AR35"/>
  <c r="AQ35"/>
  <c r="AM35"/>
  <c r="AB35"/>
  <c r="AA35"/>
  <c r="P35"/>
  <c r="U35" s="1"/>
  <c r="O35"/>
  <c r="AV35" s="1"/>
  <c r="BC34"/>
  <c r="AR34"/>
  <c r="AQ34"/>
  <c r="AM34"/>
  <c r="AB34"/>
  <c r="AA34"/>
  <c r="P34"/>
  <c r="U34" s="1"/>
  <c r="O34"/>
  <c r="AV34" s="1"/>
  <c r="BC33"/>
  <c r="AR33"/>
  <c r="AQ33"/>
  <c r="AM33"/>
  <c r="AB33"/>
  <c r="AA33"/>
  <c r="P33"/>
  <c r="U33" s="1"/>
  <c r="O33"/>
  <c r="AV33" s="1"/>
  <c r="BC32"/>
  <c r="AR32"/>
  <c r="AQ32"/>
  <c r="AM32"/>
  <c r="AB32"/>
  <c r="AA32"/>
  <c r="P32"/>
  <c r="U32" s="1"/>
  <c r="O32"/>
  <c r="AV32" s="1"/>
  <c r="BC31"/>
  <c r="AR31"/>
  <c r="AQ31"/>
  <c r="AM31"/>
  <c r="AB31"/>
  <c r="AA31"/>
  <c r="P31"/>
  <c r="U31" s="1"/>
  <c r="O31"/>
  <c r="AV31" s="1"/>
  <c r="BC30"/>
  <c r="AR30"/>
  <c r="AQ30"/>
  <c r="AM30"/>
  <c r="AB30"/>
  <c r="AA30"/>
  <c r="P30"/>
  <c r="U30" s="1"/>
  <c r="O30"/>
  <c r="AV30" s="1"/>
  <c r="BC29"/>
  <c r="AR29"/>
  <c r="AQ29"/>
  <c r="AM29"/>
  <c r="AB29"/>
  <c r="AA29"/>
  <c r="P29"/>
  <c r="U29" s="1"/>
  <c r="O29"/>
  <c r="AV29" s="1"/>
  <c r="BC28"/>
  <c r="AR28"/>
  <c r="AQ28"/>
  <c r="AM28"/>
  <c r="AB28"/>
  <c r="AA28"/>
  <c r="P28"/>
  <c r="U28" s="1"/>
  <c r="O28"/>
  <c r="AV28" s="1"/>
  <c r="BC27"/>
  <c r="AR27"/>
  <c r="AQ27"/>
  <c r="AM27"/>
  <c r="AB27"/>
  <c r="AA27"/>
  <c r="P27"/>
  <c r="U27" s="1"/>
  <c r="O27"/>
  <c r="AV27" s="1"/>
  <c r="BC26"/>
  <c r="AR26"/>
  <c r="AQ26"/>
  <c r="AM26"/>
  <c r="AB26"/>
  <c r="AA26"/>
  <c r="P26"/>
  <c r="U26" s="1"/>
  <c r="O26"/>
  <c r="AV26" s="1"/>
  <c r="BC25"/>
  <c r="AR25"/>
  <c r="AQ25"/>
  <c r="AM25"/>
  <c r="AB25"/>
  <c r="AA25"/>
  <c r="P25"/>
  <c r="U25" s="1"/>
  <c r="O25"/>
  <c r="AV25" s="1"/>
  <c r="BC24"/>
  <c r="AR24"/>
  <c r="AQ24"/>
  <c r="AM24"/>
  <c r="AB24"/>
  <c r="AA24"/>
  <c r="P24"/>
  <c r="U24" s="1"/>
  <c r="O24"/>
  <c r="AV24" s="1"/>
  <c r="BC23"/>
  <c r="AR23"/>
  <c r="AQ23"/>
  <c r="AM23"/>
  <c r="AB23"/>
  <c r="AA23"/>
  <c r="P23"/>
  <c r="U23" s="1"/>
  <c r="O23"/>
  <c r="AV23" s="1"/>
  <c r="BC22"/>
  <c r="AR22"/>
  <c r="AQ22"/>
  <c r="AM22"/>
  <c r="AB22"/>
  <c r="AA22"/>
  <c r="P22"/>
  <c r="U22" s="1"/>
  <c r="O22"/>
  <c r="AV22" s="1"/>
  <c r="BC21"/>
  <c r="AR21"/>
  <c r="AQ21"/>
  <c r="AM21"/>
  <c r="AB21"/>
  <c r="AA21"/>
  <c r="P21"/>
  <c r="U21" s="1"/>
  <c r="O21"/>
  <c r="AV21" s="1"/>
  <c r="BC20"/>
  <c r="AR20"/>
  <c r="AQ20"/>
  <c r="AM20"/>
  <c r="AB20"/>
  <c r="AA20"/>
  <c r="P20"/>
  <c r="U20" s="1"/>
  <c r="O20"/>
  <c r="AV20" s="1"/>
  <c r="BC19"/>
  <c r="AR19"/>
  <c r="AQ19"/>
  <c r="AM19"/>
  <c r="AB19"/>
  <c r="AA19"/>
  <c r="P19"/>
  <c r="U19" s="1"/>
  <c r="O19"/>
  <c r="AV19" s="1"/>
  <c r="BC18"/>
  <c r="AR18"/>
  <c r="AQ18"/>
  <c r="AM18"/>
  <c r="AB18"/>
  <c r="AA18"/>
  <c r="P18"/>
  <c r="U18" s="1"/>
  <c r="O18"/>
  <c r="AV18" s="1"/>
  <c r="BC17"/>
  <c r="AR17"/>
  <c r="AQ17"/>
  <c r="AM17"/>
  <c r="AB17"/>
  <c r="AA17"/>
  <c r="P17"/>
  <c r="U17" s="1"/>
  <c r="O17"/>
  <c r="AV17" s="1"/>
  <c r="BC16"/>
  <c r="AR16"/>
  <c r="AQ16"/>
  <c r="AM16"/>
  <c r="AB16"/>
  <c r="AA16"/>
  <c r="P16"/>
  <c r="U16" s="1"/>
  <c r="O16"/>
  <c r="AV16" s="1"/>
  <c r="BC15"/>
  <c r="AR15"/>
  <c r="AQ15"/>
  <c r="AM15"/>
  <c r="AB15"/>
  <c r="AA15"/>
  <c r="P15"/>
  <c r="U15" s="1"/>
  <c r="O15"/>
  <c r="AV15" s="1"/>
  <c r="BC14"/>
  <c r="AR14"/>
  <c r="AQ14"/>
  <c r="AM14"/>
  <c r="AB14"/>
  <c r="AA14"/>
  <c r="P14"/>
  <c r="U14" s="1"/>
  <c r="O14"/>
  <c r="AV14" s="1"/>
  <c r="BC13"/>
  <c r="AR13"/>
  <c r="AQ13"/>
  <c r="AM13"/>
  <c r="AB13"/>
  <c r="AA13"/>
  <c r="P13"/>
  <c r="U13" s="1"/>
  <c r="O13"/>
  <c r="AV13" s="1"/>
  <c r="BC12"/>
  <c r="AR12"/>
  <c r="AQ12"/>
  <c r="AM12"/>
  <c r="AB12"/>
  <c r="AA12"/>
  <c r="P12"/>
  <c r="U12" s="1"/>
  <c r="O12"/>
  <c r="AV12" s="1"/>
  <c r="BC11"/>
  <c r="AR11"/>
  <c r="AQ11"/>
  <c r="AM11"/>
  <c r="AB11"/>
  <c r="AA11"/>
  <c r="P11"/>
  <c r="U11" s="1"/>
  <c r="O11"/>
  <c r="AV11" s="1"/>
  <c r="BC10"/>
  <c r="AR10"/>
  <c r="AQ10"/>
  <c r="AM10"/>
  <c r="AB10"/>
  <c r="AA10"/>
  <c r="P10"/>
  <c r="U10" s="1"/>
  <c r="O10"/>
  <c r="AV10" s="1"/>
  <c r="BC9"/>
  <c r="AR9"/>
  <c r="AQ9"/>
  <c r="AM9"/>
  <c r="AB9"/>
  <c r="AA9"/>
  <c r="P9"/>
  <c r="U9" s="1"/>
  <c r="O9"/>
  <c r="AV9" s="1"/>
  <c r="BC8"/>
  <c r="AR8"/>
  <c r="AQ8"/>
  <c r="AM8"/>
  <c r="AB8"/>
  <c r="AA8"/>
  <c r="P8"/>
  <c r="U8" s="1"/>
  <c r="O8"/>
  <c r="AV8" s="1"/>
  <c r="BC7"/>
  <c r="AR7"/>
  <c r="AQ7"/>
  <c r="AM7"/>
  <c r="AB7"/>
  <c r="AA7"/>
  <c r="P7"/>
  <c r="U7" s="1"/>
  <c r="O7"/>
  <c r="AV7" s="1"/>
  <c r="BC6"/>
  <c r="AR6"/>
  <c r="AQ6"/>
  <c r="AM6"/>
  <c r="AB6"/>
  <c r="AA6"/>
  <c r="P6"/>
  <c r="U6" s="1"/>
  <c r="O6"/>
  <c r="AV6" s="1"/>
  <c r="BC5"/>
  <c r="AR5"/>
  <c r="AQ5"/>
  <c r="AM5"/>
  <c r="AB5"/>
  <c r="AA5"/>
  <c r="P5"/>
  <c r="U5" s="1"/>
  <c r="O5"/>
  <c r="AV5" s="1"/>
  <c r="BC4"/>
  <c r="AR4"/>
  <c r="AQ4"/>
  <c r="AM4"/>
  <c r="AB4"/>
  <c r="AA4"/>
  <c r="P4"/>
  <c r="U4" s="1"/>
  <c r="O4"/>
  <c r="AV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10" i="4"/>
  <c r="AW10"/>
  <c r="AR10"/>
  <c r="AQ10"/>
  <c r="AM10"/>
  <c r="AH10"/>
  <c r="AD10"/>
  <c r="AB10"/>
  <c r="AA10"/>
  <c r="P10"/>
  <c r="U10" s="1"/>
  <c r="O10"/>
  <c r="BC9"/>
  <c r="AR9"/>
  <c r="AQ9"/>
  <c r="AM9"/>
  <c r="AD9"/>
  <c r="AB9"/>
  <c r="AA9"/>
  <c r="P9"/>
  <c r="U9" s="1"/>
  <c r="O9"/>
  <c r="AH9" s="1"/>
  <c r="BC8"/>
  <c r="AW8"/>
  <c r="AR8"/>
  <c r="AQ8"/>
  <c r="AM8"/>
  <c r="AH8"/>
  <c r="AD8"/>
  <c r="AB8"/>
  <c r="AA8"/>
  <c r="P8"/>
  <c r="U8" s="1"/>
  <c r="O8"/>
  <c r="BC7"/>
  <c r="AW7"/>
  <c r="AT7"/>
  <c r="AR7"/>
  <c r="AQ7"/>
  <c r="AM7"/>
  <c r="AE7"/>
  <c r="AD7"/>
  <c r="AB7"/>
  <c r="AA7"/>
  <c r="X7"/>
  <c r="W7"/>
  <c r="P7"/>
  <c r="U7" s="1"/>
  <c r="V7" s="1"/>
  <c r="O7"/>
  <c r="BC6"/>
  <c r="AW6"/>
  <c r="AT6"/>
  <c r="AR6"/>
  <c r="AQ6"/>
  <c r="AM6"/>
  <c r="AE6"/>
  <c r="AD6"/>
  <c r="AB6"/>
  <c r="AA6"/>
  <c r="X6"/>
  <c r="W6"/>
  <c r="P6"/>
  <c r="U6" s="1"/>
  <c r="V6" s="1"/>
  <c r="O6"/>
  <c r="BC5"/>
  <c r="AW5"/>
  <c r="AT5"/>
  <c r="AR5"/>
  <c r="AQ5"/>
  <c r="AM5"/>
  <c r="AE5"/>
  <c r="AD5"/>
  <c r="AB5"/>
  <c r="AA5"/>
  <c r="X5"/>
  <c r="W5"/>
  <c r="P5"/>
  <c r="U5" s="1"/>
  <c r="V5" s="1"/>
  <c r="O5"/>
  <c r="BC4"/>
  <c r="AW4"/>
  <c r="AT4"/>
  <c r="AR4"/>
  <c r="AQ4"/>
  <c r="AM4"/>
  <c r="AE4"/>
  <c r="AD4"/>
  <c r="AB4"/>
  <c r="AA4"/>
  <c r="X4"/>
  <c r="W4"/>
  <c r="P4"/>
  <c r="U4" s="1"/>
  <c r="V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30" i="3"/>
  <c r="AR30"/>
  <c r="AQ30"/>
  <c r="AM30"/>
  <c r="AB30"/>
  <c r="AA30"/>
  <c r="AF30" s="1"/>
  <c r="V30"/>
  <c r="U30"/>
  <c r="P30"/>
  <c r="O30"/>
  <c r="AX30" s="1"/>
  <c r="BC29"/>
  <c r="AR29"/>
  <c r="AQ29"/>
  <c r="AM29"/>
  <c r="AB29"/>
  <c r="AA29"/>
  <c r="AF29" s="1"/>
  <c r="V29"/>
  <c r="U29"/>
  <c r="P29"/>
  <c r="O29"/>
  <c r="AX29" s="1"/>
  <c r="BC28"/>
  <c r="AR28"/>
  <c r="AQ28"/>
  <c r="AM28"/>
  <c r="AB28"/>
  <c r="AA28"/>
  <c r="AF28" s="1"/>
  <c r="V28"/>
  <c r="U28"/>
  <c r="P28"/>
  <c r="O28"/>
  <c r="AX28" s="1"/>
  <c r="BC27"/>
  <c r="AR27"/>
  <c r="AQ27"/>
  <c r="AM27"/>
  <c r="AB27"/>
  <c r="AA27"/>
  <c r="AF27" s="1"/>
  <c r="V27"/>
  <c r="U27"/>
  <c r="P27"/>
  <c r="O27"/>
  <c r="AX27" s="1"/>
  <c r="BC26"/>
  <c r="AR26"/>
  <c r="AQ26"/>
  <c r="AM26"/>
  <c r="AB26"/>
  <c r="AA26"/>
  <c r="AF26" s="1"/>
  <c r="V26"/>
  <c r="U26"/>
  <c r="P26"/>
  <c r="O26"/>
  <c r="AX26" s="1"/>
  <c r="BC25"/>
  <c r="AR25"/>
  <c r="AQ25"/>
  <c r="AM25"/>
  <c r="AB25"/>
  <c r="AA25"/>
  <c r="AF25" s="1"/>
  <c r="V25"/>
  <c r="U25"/>
  <c r="P25"/>
  <c r="O25"/>
  <c r="AX25" s="1"/>
  <c r="BC24"/>
  <c r="AR24"/>
  <c r="AQ24"/>
  <c r="AM24"/>
  <c r="AB24"/>
  <c r="AA24"/>
  <c r="AF24" s="1"/>
  <c r="V24"/>
  <c r="U24"/>
  <c r="P24"/>
  <c r="O24"/>
  <c r="AX24" s="1"/>
  <c r="BC23"/>
  <c r="AR23"/>
  <c r="AQ23"/>
  <c r="AM23"/>
  <c r="AB23"/>
  <c r="AA23"/>
  <c r="AF23" s="1"/>
  <c r="V23"/>
  <c r="U23"/>
  <c r="P23"/>
  <c r="O23"/>
  <c r="AX23" s="1"/>
  <c r="BC22"/>
  <c r="AR22"/>
  <c r="AQ22"/>
  <c r="AM22"/>
  <c r="AB22"/>
  <c r="AA22"/>
  <c r="AF22" s="1"/>
  <c r="V22"/>
  <c r="U22"/>
  <c r="P22"/>
  <c r="O22"/>
  <c r="AX22" s="1"/>
  <c r="BC21"/>
  <c r="AR21"/>
  <c r="AQ21"/>
  <c r="AM21"/>
  <c r="AB21"/>
  <c r="AA21"/>
  <c r="AF21" s="1"/>
  <c r="V21"/>
  <c r="U21"/>
  <c r="P21"/>
  <c r="O21"/>
  <c r="AX21" s="1"/>
  <c r="BC20"/>
  <c r="AR20"/>
  <c r="AQ20"/>
  <c r="AM20"/>
  <c r="AB20"/>
  <c r="AA20"/>
  <c r="AF20" s="1"/>
  <c r="V20"/>
  <c r="U20"/>
  <c r="P20"/>
  <c r="O20"/>
  <c r="AX20" s="1"/>
  <c r="BC19"/>
  <c r="AR19"/>
  <c r="AQ19"/>
  <c r="AM19"/>
  <c r="AB19"/>
  <c r="AA19"/>
  <c r="AF19" s="1"/>
  <c r="V19"/>
  <c r="U19"/>
  <c r="P19"/>
  <c r="O19"/>
  <c r="AX19" s="1"/>
  <c r="BC18"/>
  <c r="AR18"/>
  <c r="AQ18"/>
  <c r="AM18"/>
  <c r="AB18"/>
  <c r="AA18"/>
  <c r="AF18" s="1"/>
  <c r="V18"/>
  <c r="U18"/>
  <c r="P18"/>
  <c r="O18"/>
  <c r="AX18" s="1"/>
  <c r="BC17"/>
  <c r="AR17"/>
  <c r="AQ17"/>
  <c r="AM17"/>
  <c r="AB17"/>
  <c r="AA17"/>
  <c r="AF17" s="1"/>
  <c r="V17"/>
  <c r="U17"/>
  <c r="P17"/>
  <c r="O17"/>
  <c r="AX17" s="1"/>
  <c r="BC16"/>
  <c r="AR16"/>
  <c r="AQ16"/>
  <c r="AM16"/>
  <c r="AB16"/>
  <c r="AA16"/>
  <c r="AF16" s="1"/>
  <c r="V16"/>
  <c r="U16"/>
  <c r="P16"/>
  <c r="O16"/>
  <c r="AX16" s="1"/>
  <c r="BC15"/>
  <c r="AR15"/>
  <c r="AQ15"/>
  <c r="AM15"/>
  <c r="AB15"/>
  <c r="AA15"/>
  <c r="AF15" s="1"/>
  <c r="V15"/>
  <c r="U15"/>
  <c r="P15"/>
  <c r="O15"/>
  <c r="AX15" s="1"/>
  <c r="BC14"/>
  <c r="AR14"/>
  <c r="AQ14"/>
  <c r="AM14"/>
  <c r="AB14"/>
  <c r="AA14"/>
  <c r="AF14" s="1"/>
  <c r="V14"/>
  <c r="U14"/>
  <c r="P14"/>
  <c r="O14"/>
  <c r="AX14" s="1"/>
  <c r="BC13"/>
  <c r="AR13"/>
  <c r="AQ13"/>
  <c r="AM13"/>
  <c r="AB13"/>
  <c r="AA13"/>
  <c r="AF13" s="1"/>
  <c r="V13"/>
  <c r="U13"/>
  <c r="P13"/>
  <c r="O13"/>
  <c r="AX13" s="1"/>
  <c r="BC12"/>
  <c r="AR12"/>
  <c r="AQ12"/>
  <c r="AM12"/>
  <c r="AB12"/>
  <c r="AA12"/>
  <c r="AF12" s="1"/>
  <c r="V12"/>
  <c r="U12"/>
  <c r="P12"/>
  <c r="O12"/>
  <c r="AX12" s="1"/>
  <c r="BC11"/>
  <c r="AR11"/>
  <c r="AQ11"/>
  <c r="AM11"/>
  <c r="AB11"/>
  <c r="AA11"/>
  <c r="AF11" s="1"/>
  <c r="U11"/>
  <c r="V11" s="1"/>
  <c r="P11"/>
  <c r="O11"/>
  <c r="AX11" s="1"/>
  <c r="BC10"/>
  <c r="AR10"/>
  <c r="AQ10"/>
  <c r="AM10"/>
  <c r="AB10"/>
  <c r="AA10"/>
  <c r="AF10" s="1"/>
  <c r="U10"/>
  <c r="V10" s="1"/>
  <c r="P10"/>
  <c r="O10"/>
  <c r="AX10" s="1"/>
  <c r="BA10" s="1"/>
  <c r="BB10" s="1"/>
  <c r="BD10" s="1"/>
  <c r="BC9"/>
  <c r="AR9"/>
  <c r="AQ9"/>
  <c r="AM9"/>
  <c r="AB9"/>
  <c r="AA9"/>
  <c r="P9"/>
  <c r="AT9" s="1"/>
  <c r="O9"/>
  <c r="AU9" s="1"/>
  <c r="BC8"/>
  <c r="AR8"/>
  <c r="AQ8"/>
  <c r="AM8"/>
  <c r="AB8"/>
  <c r="AA8"/>
  <c r="P8"/>
  <c r="AX8" s="1"/>
  <c r="BA8" s="1"/>
  <c r="BB8" s="1"/>
  <c r="BD8" s="1"/>
  <c r="O8"/>
  <c r="AW8" s="1"/>
  <c r="BC7"/>
  <c r="AR7"/>
  <c r="AQ7"/>
  <c r="AM7"/>
  <c r="AB7"/>
  <c r="AA7"/>
  <c r="P7"/>
  <c r="AX7" s="1"/>
  <c r="BA7" s="1"/>
  <c r="BB7" s="1"/>
  <c r="BD7" s="1"/>
  <c r="O7"/>
  <c r="AW7" s="1"/>
  <c r="BC6"/>
  <c r="AR6"/>
  <c r="AQ6"/>
  <c r="AM6"/>
  <c r="AB6"/>
  <c r="AA6"/>
  <c r="P6"/>
  <c r="AX6" s="1"/>
  <c r="BA6" s="1"/>
  <c r="BB6" s="1"/>
  <c r="BD6" s="1"/>
  <c r="O6"/>
  <c r="AW6" s="1"/>
  <c r="BC5"/>
  <c r="AR5"/>
  <c r="AQ5"/>
  <c r="AM5"/>
  <c r="AB5"/>
  <c r="AA5"/>
  <c r="P5"/>
  <c r="AX5" s="1"/>
  <c r="BA5" s="1"/>
  <c r="BB5" s="1"/>
  <c r="BD5" s="1"/>
  <c r="O5"/>
  <c r="AW5" s="1"/>
  <c r="BC4"/>
  <c r="AR4"/>
  <c r="AQ4"/>
  <c r="AM4"/>
  <c r="AB4"/>
  <c r="AA4"/>
  <c r="P4"/>
  <c r="AX4" s="1"/>
  <c r="BA4" s="1"/>
  <c r="BB4" s="1"/>
  <c r="BD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74" i="2"/>
  <c r="AR74"/>
  <c r="AQ74"/>
  <c r="AM74"/>
  <c r="AB74"/>
  <c r="AG74" s="1"/>
  <c r="AA74"/>
  <c r="AF74" s="1"/>
  <c r="V74"/>
  <c r="U74"/>
  <c r="W74" s="1"/>
  <c r="P74"/>
  <c r="O74"/>
  <c r="AW74" s="1"/>
  <c r="BC73"/>
  <c r="AR73"/>
  <c r="AQ73"/>
  <c r="AM73"/>
  <c r="AB73"/>
  <c r="AG73" s="1"/>
  <c r="AA73"/>
  <c r="AF73" s="1"/>
  <c r="V73"/>
  <c r="U73"/>
  <c r="W73" s="1"/>
  <c r="P73"/>
  <c r="O73"/>
  <c r="AW73" s="1"/>
  <c r="BC72"/>
  <c r="AR72"/>
  <c r="AQ72"/>
  <c r="AM72"/>
  <c r="AB72"/>
  <c r="AG72" s="1"/>
  <c r="AA72"/>
  <c r="AF72" s="1"/>
  <c r="V72"/>
  <c r="U72"/>
  <c r="W72" s="1"/>
  <c r="P72"/>
  <c r="O72"/>
  <c r="AW72" s="1"/>
  <c r="BC71"/>
  <c r="AR71"/>
  <c r="AQ71"/>
  <c r="AM71"/>
  <c r="AB71"/>
  <c r="AG71" s="1"/>
  <c r="AA71"/>
  <c r="AF71" s="1"/>
  <c r="V71"/>
  <c r="U71"/>
  <c r="W71" s="1"/>
  <c r="P71"/>
  <c r="O71"/>
  <c r="AW71" s="1"/>
  <c r="BC70"/>
  <c r="AR70"/>
  <c r="AQ70"/>
  <c r="AM70"/>
  <c r="AB70"/>
  <c r="AG70" s="1"/>
  <c r="AA70"/>
  <c r="AF70" s="1"/>
  <c r="V70"/>
  <c r="U70"/>
  <c r="W70" s="1"/>
  <c r="P70"/>
  <c r="O70"/>
  <c r="AW70" s="1"/>
  <c r="BC69"/>
  <c r="AR69"/>
  <c r="AQ69"/>
  <c r="AM69"/>
  <c r="AB69"/>
  <c r="AG69" s="1"/>
  <c r="AA69"/>
  <c r="AF69" s="1"/>
  <c r="V69"/>
  <c r="U69"/>
  <c r="W69" s="1"/>
  <c r="P69"/>
  <c r="O69"/>
  <c r="AW69" s="1"/>
  <c r="AR68"/>
  <c r="AQ68"/>
  <c r="AB68"/>
  <c r="AG68" s="1"/>
  <c r="AA68"/>
  <c r="AF68" s="1"/>
  <c r="V68"/>
  <c r="U68"/>
  <c r="W68" s="1"/>
  <c r="P68"/>
  <c r="O68"/>
  <c r="AW68" s="1"/>
  <c r="BC67"/>
  <c r="AR67"/>
  <c r="AQ67"/>
  <c r="AM67"/>
  <c r="AB67"/>
  <c r="AG67" s="1"/>
  <c r="AA67"/>
  <c r="AF67" s="1"/>
  <c r="V67"/>
  <c r="U67"/>
  <c r="W67" s="1"/>
  <c r="P67"/>
  <c r="O67"/>
  <c r="AW67" s="1"/>
  <c r="AR66"/>
  <c r="AQ66"/>
  <c r="AB66"/>
  <c r="AG66" s="1"/>
  <c r="AA66"/>
  <c r="AF66" s="1"/>
  <c r="V66"/>
  <c r="U66"/>
  <c r="W66" s="1"/>
  <c r="P66"/>
  <c r="O66"/>
  <c r="AW66" s="1"/>
  <c r="BC65"/>
  <c r="AR65"/>
  <c r="AQ65"/>
  <c r="AM65"/>
  <c r="AB65"/>
  <c r="AG65" s="1"/>
  <c r="AA65"/>
  <c r="AF65" s="1"/>
  <c r="V65"/>
  <c r="U65"/>
  <c r="W65" s="1"/>
  <c r="P65"/>
  <c r="O65"/>
  <c r="AW65" s="1"/>
  <c r="BC64"/>
  <c r="AR64"/>
  <c r="AQ64"/>
  <c r="AM64"/>
  <c r="AB64"/>
  <c r="AG64" s="1"/>
  <c r="AA64"/>
  <c r="AF64" s="1"/>
  <c r="V64"/>
  <c r="U64"/>
  <c r="W64" s="1"/>
  <c r="P64"/>
  <c r="O64"/>
  <c r="AW64" s="1"/>
  <c r="BC63"/>
  <c r="AR63"/>
  <c r="AQ63"/>
  <c r="AM63"/>
  <c r="AB63"/>
  <c r="AG63" s="1"/>
  <c r="AA63"/>
  <c r="AF63" s="1"/>
  <c r="V63"/>
  <c r="U63"/>
  <c r="W63" s="1"/>
  <c r="P63"/>
  <c r="O63"/>
  <c r="AW63" s="1"/>
  <c r="BC62"/>
  <c r="AR62"/>
  <c r="AQ62"/>
  <c r="AM62"/>
  <c r="AB62"/>
  <c r="AG62" s="1"/>
  <c r="AA62"/>
  <c r="AF62" s="1"/>
  <c r="V62"/>
  <c r="U62"/>
  <c r="W62" s="1"/>
  <c r="P62"/>
  <c r="O62"/>
  <c r="AW62" s="1"/>
  <c r="BC61"/>
  <c r="AR61"/>
  <c r="AQ61"/>
  <c r="AM61"/>
  <c r="AB61"/>
  <c r="AG61" s="1"/>
  <c r="AA61"/>
  <c r="AF61" s="1"/>
  <c r="V61"/>
  <c r="U61"/>
  <c r="W61" s="1"/>
  <c r="P61"/>
  <c r="O61"/>
  <c r="AW61" s="1"/>
  <c r="AR60"/>
  <c r="AQ60"/>
  <c r="AB60"/>
  <c r="AG60" s="1"/>
  <c r="AA60"/>
  <c r="AF60" s="1"/>
  <c r="V60"/>
  <c r="U60"/>
  <c r="W60" s="1"/>
  <c r="P60"/>
  <c r="O60"/>
  <c r="AW60" s="1"/>
  <c r="AR59"/>
  <c r="AQ59"/>
  <c r="AB59"/>
  <c r="AG59" s="1"/>
  <c r="AA59"/>
  <c r="AF59" s="1"/>
  <c r="V59"/>
  <c r="U59"/>
  <c r="W59" s="1"/>
  <c r="P59"/>
  <c r="O59"/>
  <c r="AW59" s="1"/>
  <c r="BC58"/>
  <c r="AR58"/>
  <c r="AQ58"/>
  <c r="AM58"/>
  <c r="AB58"/>
  <c r="AG58" s="1"/>
  <c r="AA58"/>
  <c r="AF58" s="1"/>
  <c r="V58"/>
  <c r="U58"/>
  <c r="W58" s="1"/>
  <c r="P58"/>
  <c r="O58"/>
  <c r="AW58" s="1"/>
  <c r="BC57"/>
  <c r="AR57"/>
  <c r="AQ57"/>
  <c r="AM57"/>
  <c r="AB57"/>
  <c r="AG57" s="1"/>
  <c r="AA57"/>
  <c r="AF57" s="1"/>
  <c r="V57"/>
  <c r="U57"/>
  <c r="W57" s="1"/>
  <c r="P57"/>
  <c r="O57"/>
  <c r="AW57" s="1"/>
  <c r="BC56"/>
  <c r="AR56"/>
  <c r="AQ56"/>
  <c r="AM56"/>
  <c r="AB56"/>
  <c r="AG56" s="1"/>
  <c r="AA56"/>
  <c r="AF56" s="1"/>
  <c r="V56"/>
  <c r="U56"/>
  <c r="W56" s="1"/>
  <c r="P56"/>
  <c r="O56"/>
  <c r="AW56" s="1"/>
  <c r="BC55"/>
  <c r="AR55"/>
  <c r="AQ55"/>
  <c r="AM55"/>
  <c r="AB55"/>
  <c r="AG55" s="1"/>
  <c r="AA55"/>
  <c r="AF55" s="1"/>
  <c r="V55"/>
  <c r="U55"/>
  <c r="W55" s="1"/>
  <c r="P55"/>
  <c r="O55"/>
  <c r="AW55" s="1"/>
  <c r="BC54"/>
  <c r="AR54"/>
  <c r="AQ54"/>
  <c r="AM54"/>
  <c r="AB54"/>
  <c r="AG54" s="1"/>
  <c r="AA54"/>
  <c r="AF54" s="1"/>
  <c r="V54"/>
  <c r="U54"/>
  <c r="W54" s="1"/>
  <c r="P54"/>
  <c r="O54"/>
  <c r="AW54" s="1"/>
  <c r="BC53"/>
  <c r="AR53"/>
  <c r="AQ53"/>
  <c r="AM53"/>
  <c r="AB53"/>
  <c r="AG53" s="1"/>
  <c r="AA53"/>
  <c r="AF53" s="1"/>
  <c r="V53"/>
  <c r="U53"/>
  <c r="W53" s="1"/>
  <c r="P53"/>
  <c r="O53"/>
  <c r="AW53" s="1"/>
  <c r="BC52"/>
  <c r="AR52"/>
  <c r="AQ52"/>
  <c r="AM52"/>
  <c r="AB52"/>
  <c r="AG52" s="1"/>
  <c r="AA52"/>
  <c r="AF52" s="1"/>
  <c r="V52"/>
  <c r="U52"/>
  <c r="W52" s="1"/>
  <c r="P52"/>
  <c r="O52"/>
  <c r="AW52" s="1"/>
  <c r="BC51"/>
  <c r="AR51"/>
  <c r="AQ51"/>
  <c r="AM51"/>
  <c r="AB51"/>
  <c r="AG51" s="1"/>
  <c r="AA51"/>
  <c r="AF51" s="1"/>
  <c r="V51"/>
  <c r="U51"/>
  <c r="W51" s="1"/>
  <c r="P51"/>
  <c r="O51"/>
  <c r="AW51" s="1"/>
  <c r="BC50"/>
  <c r="AR50"/>
  <c r="AQ50"/>
  <c r="AM50"/>
  <c r="AB50"/>
  <c r="AG50" s="1"/>
  <c r="AA50"/>
  <c r="AF50" s="1"/>
  <c r="V50"/>
  <c r="U50"/>
  <c r="W50" s="1"/>
  <c r="P50"/>
  <c r="O50"/>
  <c r="AW50" s="1"/>
  <c r="BC49"/>
  <c r="AR49"/>
  <c r="AQ49"/>
  <c r="AM49"/>
  <c r="AB49"/>
  <c r="AG49" s="1"/>
  <c r="AA49"/>
  <c r="AF49" s="1"/>
  <c r="V49"/>
  <c r="U49"/>
  <c r="W49" s="1"/>
  <c r="P49"/>
  <c r="O49"/>
  <c r="AW49" s="1"/>
  <c r="BC48"/>
  <c r="AR48"/>
  <c r="AQ48"/>
  <c r="AM48"/>
  <c r="AB48"/>
  <c r="AG48" s="1"/>
  <c r="AA48"/>
  <c r="AF48" s="1"/>
  <c r="V48"/>
  <c r="U48"/>
  <c r="W48" s="1"/>
  <c r="P48"/>
  <c r="O48"/>
  <c r="AW48" s="1"/>
  <c r="BC47"/>
  <c r="AR47"/>
  <c r="AQ47"/>
  <c r="AM47"/>
  <c r="AB47"/>
  <c r="AG47" s="1"/>
  <c r="AA47"/>
  <c r="AF47" s="1"/>
  <c r="V47"/>
  <c r="U47"/>
  <c r="W47" s="1"/>
  <c r="P47"/>
  <c r="O47"/>
  <c r="AW47" s="1"/>
  <c r="BC46"/>
  <c r="AR46"/>
  <c r="AQ46"/>
  <c r="AM46"/>
  <c r="AB46"/>
  <c r="AG46" s="1"/>
  <c r="AA46"/>
  <c r="AF46" s="1"/>
  <c r="V46"/>
  <c r="U46"/>
  <c r="W46" s="1"/>
  <c r="P46"/>
  <c r="O46"/>
  <c r="AW46" s="1"/>
  <c r="BC45"/>
  <c r="AR45"/>
  <c r="AQ45"/>
  <c r="AM45"/>
  <c r="AB45"/>
  <c r="AG45" s="1"/>
  <c r="AA45"/>
  <c r="AF45" s="1"/>
  <c r="V45"/>
  <c r="U45"/>
  <c r="W45" s="1"/>
  <c r="P45"/>
  <c r="O45"/>
  <c r="AW45" s="1"/>
  <c r="BC44"/>
  <c r="AR44"/>
  <c r="AQ44"/>
  <c r="AM44"/>
  <c r="AB44"/>
  <c r="AG44" s="1"/>
  <c r="AA44"/>
  <c r="AF44" s="1"/>
  <c r="V44"/>
  <c r="U44"/>
  <c r="W44" s="1"/>
  <c r="P44"/>
  <c r="O44"/>
  <c r="AW44" s="1"/>
  <c r="AR43"/>
  <c r="AQ43"/>
  <c r="AB43"/>
  <c r="AG43" s="1"/>
  <c r="AA43"/>
  <c r="AF43" s="1"/>
  <c r="V43"/>
  <c r="U43"/>
  <c r="W43" s="1"/>
  <c r="P43"/>
  <c r="O43"/>
  <c r="AW43" s="1"/>
  <c r="BC42"/>
  <c r="AR42"/>
  <c r="AQ42"/>
  <c r="AM42"/>
  <c r="AB42"/>
  <c r="AG42" s="1"/>
  <c r="AA42"/>
  <c r="AF42" s="1"/>
  <c r="V42"/>
  <c r="U42"/>
  <c r="W42" s="1"/>
  <c r="P42"/>
  <c r="O42"/>
  <c r="AW42" s="1"/>
  <c r="AR41"/>
  <c r="AQ41"/>
  <c r="AB41"/>
  <c r="AG41" s="1"/>
  <c r="AA41"/>
  <c r="AF41" s="1"/>
  <c r="V41"/>
  <c r="U41"/>
  <c r="W41" s="1"/>
  <c r="P41"/>
  <c r="O41"/>
  <c r="AW41" s="1"/>
  <c r="BC40"/>
  <c r="AR40"/>
  <c r="AQ40"/>
  <c r="AM40"/>
  <c r="AB40"/>
  <c r="AG40" s="1"/>
  <c r="AA40"/>
  <c r="AF40" s="1"/>
  <c r="V40"/>
  <c r="U40"/>
  <c r="W40" s="1"/>
  <c r="P40"/>
  <c r="O40"/>
  <c r="AW40" s="1"/>
  <c r="BC39"/>
  <c r="AR39"/>
  <c r="AQ39"/>
  <c r="AM39"/>
  <c r="AB39"/>
  <c r="AG39" s="1"/>
  <c r="AA39"/>
  <c r="AF39" s="1"/>
  <c r="V39"/>
  <c r="U39"/>
  <c r="W39" s="1"/>
  <c r="P39"/>
  <c r="O39"/>
  <c r="AW39" s="1"/>
  <c r="BC38"/>
  <c r="AR38"/>
  <c r="AQ38"/>
  <c r="AM38"/>
  <c r="AB38"/>
  <c r="AG38" s="1"/>
  <c r="AA38"/>
  <c r="AF38" s="1"/>
  <c r="V38"/>
  <c r="U38"/>
  <c r="W38" s="1"/>
  <c r="P38"/>
  <c r="O38"/>
  <c r="AW38" s="1"/>
  <c r="BC37"/>
  <c r="AR37"/>
  <c r="AQ37"/>
  <c r="AM37"/>
  <c r="AB37"/>
  <c r="AG37" s="1"/>
  <c r="AA37"/>
  <c r="AF37" s="1"/>
  <c r="V37"/>
  <c r="U37"/>
  <c r="W37" s="1"/>
  <c r="P37"/>
  <c r="O37"/>
  <c r="AW37" s="1"/>
  <c r="AR36"/>
  <c r="AQ36"/>
  <c r="AB36"/>
  <c r="AG36" s="1"/>
  <c r="AA36"/>
  <c r="AF36" s="1"/>
  <c r="V36"/>
  <c r="U36"/>
  <c r="W36" s="1"/>
  <c r="P36"/>
  <c r="O36"/>
  <c r="AW36" s="1"/>
  <c r="BC35"/>
  <c r="AR35"/>
  <c r="AQ35"/>
  <c r="AM35"/>
  <c r="AB35"/>
  <c r="AA35"/>
  <c r="AF35" s="1"/>
  <c r="U35"/>
  <c r="V35" s="1"/>
  <c r="P35"/>
  <c r="O35"/>
  <c r="AW35" s="1"/>
  <c r="BC34"/>
  <c r="AR34"/>
  <c r="AQ34"/>
  <c r="AM34"/>
  <c r="AB34"/>
  <c r="AA34"/>
  <c r="AF34" s="1"/>
  <c r="U34"/>
  <c r="V34" s="1"/>
  <c r="P34"/>
  <c r="O34"/>
  <c r="AW34" s="1"/>
  <c r="BC33"/>
  <c r="AR33"/>
  <c r="AQ33"/>
  <c r="AM33"/>
  <c r="AB33"/>
  <c r="AA33"/>
  <c r="AF33" s="1"/>
  <c r="U33"/>
  <c r="V33" s="1"/>
  <c r="P33"/>
  <c r="O33"/>
  <c r="AW33" s="1"/>
  <c r="BC32"/>
  <c r="AR32"/>
  <c r="AQ32"/>
  <c r="AM32"/>
  <c r="AB32"/>
  <c r="AA32"/>
  <c r="AF32" s="1"/>
  <c r="U32"/>
  <c r="V32" s="1"/>
  <c r="P32"/>
  <c r="O32"/>
  <c r="AW32" s="1"/>
  <c r="BC31"/>
  <c r="AR31"/>
  <c r="AQ31"/>
  <c r="AM31"/>
  <c r="AB31"/>
  <c r="AA31"/>
  <c r="AF31" s="1"/>
  <c r="U31"/>
  <c r="V31" s="1"/>
  <c r="P31"/>
  <c r="O31"/>
  <c r="AW31" s="1"/>
  <c r="BC30"/>
  <c r="AR30"/>
  <c r="AQ30"/>
  <c r="AM30"/>
  <c r="AB30"/>
  <c r="AA30"/>
  <c r="AF30" s="1"/>
  <c r="V30"/>
  <c r="U30"/>
  <c r="W30" s="1"/>
  <c r="P30"/>
  <c r="O30"/>
  <c r="AW30" s="1"/>
  <c r="AR29"/>
  <c r="AQ29"/>
  <c r="AB29"/>
  <c r="AA29"/>
  <c r="AF29" s="1"/>
  <c r="V29"/>
  <c r="U29"/>
  <c r="W29" s="1"/>
  <c r="P29"/>
  <c r="O29"/>
  <c r="AW29" s="1"/>
  <c r="BC28"/>
  <c r="AR28"/>
  <c r="AQ28"/>
  <c r="AM28"/>
  <c r="AB28"/>
  <c r="AA28"/>
  <c r="AF28" s="1"/>
  <c r="V28"/>
  <c r="U28"/>
  <c r="W28" s="1"/>
  <c r="P28"/>
  <c r="O28"/>
  <c r="AW28" s="1"/>
  <c r="BC27"/>
  <c r="AR27"/>
  <c r="AQ27"/>
  <c r="AM27"/>
  <c r="AB27"/>
  <c r="AA27"/>
  <c r="AF27" s="1"/>
  <c r="U27"/>
  <c r="V27" s="1"/>
  <c r="P27"/>
  <c r="O27"/>
  <c r="AW27" s="1"/>
  <c r="BC26"/>
  <c r="AR26"/>
  <c r="AQ26"/>
  <c r="AM26"/>
  <c r="AB26"/>
  <c r="AA26"/>
  <c r="AF26" s="1"/>
  <c r="U26"/>
  <c r="V26" s="1"/>
  <c r="P26"/>
  <c r="O26"/>
  <c r="AW26" s="1"/>
  <c r="AR25"/>
  <c r="AQ25"/>
  <c r="AB25"/>
  <c r="AA25"/>
  <c r="AF25" s="1"/>
  <c r="V25"/>
  <c r="U25"/>
  <c r="W25" s="1"/>
  <c r="P25"/>
  <c r="O25"/>
  <c r="AW25" s="1"/>
  <c r="BC24"/>
  <c r="AR24"/>
  <c r="AQ24"/>
  <c r="AM24"/>
  <c r="AB24"/>
  <c r="AA24"/>
  <c r="AF24" s="1"/>
  <c r="V24"/>
  <c r="U24"/>
  <c r="W24" s="1"/>
  <c r="P24"/>
  <c r="O24"/>
  <c r="AW24" s="1"/>
  <c r="BC23"/>
  <c r="AR23"/>
  <c r="AQ23"/>
  <c r="AM23"/>
  <c r="AB23"/>
  <c r="AA23"/>
  <c r="AF23" s="1"/>
  <c r="U23"/>
  <c r="V23" s="1"/>
  <c r="P23"/>
  <c r="O23"/>
  <c r="AW23" s="1"/>
  <c r="BC22"/>
  <c r="AR22"/>
  <c r="AQ22"/>
  <c r="AM22"/>
  <c r="AB22"/>
  <c r="AA22"/>
  <c r="AF22" s="1"/>
  <c r="U22"/>
  <c r="V22" s="1"/>
  <c r="P22"/>
  <c r="O22"/>
  <c r="AW22" s="1"/>
  <c r="BC21"/>
  <c r="AR21"/>
  <c r="AQ21"/>
  <c r="AM21"/>
  <c r="AB21"/>
  <c r="AA21"/>
  <c r="AF21" s="1"/>
  <c r="U21"/>
  <c r="V21" s="1"/>
  <c r="P21"/>
  <c r="O21"/>
  <c r="AW21" s="1"/>
  <c r="BC20"/>
  <c r="AR20"/>
  <c r="AQ20"/>
  <c r="AM20"/>
  <c r="AB20"/>
  <c r="AA20"/>
  <c r="AF20" s="1"/>
  <c r="U20"/>
  <c r="V20" s="1"/>
  <c r="P20"/>
  <c r="O20"/>
  <c r="AW20" s="1"/>
  <c r="BC19"/>
  <c r="AR19"/>
  <c r="AQ19"/>
  <c r="AM19"/>
  <c r="AB19"/>
  <c r="AA19"/>
  <c r="AF19" s="1"/>
  <c r="U19"/>
  <c r="V19" s="1"/>
  <c r="P19"/>
  <c r="O19"/>
  <c r="AW19" s="1"/>
  <c r="BC18"/>
  <c r="AR18"/>
  <c r="AQ18"/>
  <c r="AM18"/>
  <c r="AB18"/>
  <c r="AA18"/>
  <c r="AF18" s="1"/>
  <c r="U18"/>
  <c r="V18" s="1"/>
  <c r="P18"/>
  <c r="O18"/>
  <c r="AW18" s="1"/>
  <c r="BC17"/>
  <c r="AR17"/>
  <c r="AQ17"/>
  <c r="AM17"/>
  <c r="AB17"/>
  <c r="AA17"/>
  <c r="AF17" s="1"/>
  <c r="U17"/>
  <c r="V17" s="1"/>
  <c r="P17"/>
  <c r="O17"/>
  <c r="AW17" s="1"/>
  <c r="BC16"/>
  <c r="AR16"/>
  <c r="AQ16"/>
  <c r="AM16"/>
  <c r="AB16"/>
  <c r="AA16"/>
  <c r="AF16" s="1"/>
  <c r="U16"/>
  <c r="V16" s="1"/>
  <c r="P16"/>
  <c r="O16"/>
  <c r="AW16" s="1"/>
  <c r="BC15"/>
  <c r="AU15"/>
  <c r="AR15"/>
  <c r="AQ15"/>
  <c r="AV15" s="1"/>
  <c r="AM15"/>
  <c r="AB15"/>
  <c r="AA15"/>
  <c r="AF15" s="1"/>
  <c r="U15"/>
  <c r="V15" s="1"/>
  <c r="P15"/>
  <c r="O15"/>
  <c r="AW15" s="1"/>
  <c r="BC14"/>
  <c r="AU14"/>
  <c r="AR14"/>
  <c r="AQ14"/>
  <c r="AV14" s="1"/>
  <c r="AM14"/>
  <c r="AB14"/>
  <c r="AA14"/>
  <c r="AF14" s="1"/>
  <c r="U14"/>
  <c r="V14" s="1"/>
  <c r="P14"/>
  <c r="O14"/>
  <c r="AW14" s="1"/>
  <c r="BC13"/>
  <c r="AU13"/>
  <c r="AR13"/>
  <c r="AQ13"/>
  <c r="AV13" s="1"/>
  <c r="AM13"/>
  <c r="AB13"/>
  <c r="AA13"/>
  <c r="AF13" s="1"/>
  <c r="U13"/>
  <c r="V13" s="1"/>
  <c r="P13"/>
  <c r="O13"/>
  <c r="AW13" s="1"/>
  <c r="BC12"/>
  <c r="AU12"/>
  <c r="AR12"/>
  <c r="AQ12"/>
  <c r="AV12" s="1"/>
  <c r="AM12"/>
  <c r="AB12"/>
  <c r="AA12"/>
  <c r="AF12" s="1"/>
  <c r="U12"/>
  <c r="V12" s="1"/>
  <c r="P12"/>
  <c r="O12"/>
  <c r="AW12" s="1"/>
  <c r="BC11"/>
  <c r="AU11"/>
  <c r="AR11"/>
  <c r="AQ11"/>
  <c r="AV11" s="1"/>
  <c r="AM11"/>
  <c r="AB11"/>
  <c r="AA11"/>
  <c r="AF11" s="1"/>
  <c r="U11"/>
  <c r="V11" s="1"/>
  <c r="P11"/>
  <c r="O11"/>
  <c r="AW11" s="1"/>
  <c r="BC10"/>
  <c r="AU10"/>
  <c r="AR10"/>
  <c r="AQ10"/>
  <c r="AV10" s="1"/>
  <c r="AM10"/>
  <c r="AB10"/>
  <c r="AA10"/>
  <c r="AF10" s="1"/>
  <c r="U10"/>
  <c r="V10" s="1"/>
  <c r="P10"/>
  <c r="O10"/>
  <c r="AW10" s="1"/>
  <c r="BC9"/>
  <c r="AU9"/>
  <c r="AR9"/>
  <c r="AQ9"/>
  <c r="AV9" s="1"/>
  <c r="AM9"/>
  <c r="AB9"/>
  <c r="AA9"/>
  <c r="AF9" s="1"/>
  <c r="U9"/>
  <c r="V9" s="1"/>
  <c r="P9"/>
  <c r="O9"/>
  <c r="AW9" s="1"/>
  <c r="BC8"/>
  <c r="AU8"/>
  <c r="AR8"/>
  <c r="AQ8"/>
  <c r="AV8" s="1"/>
  <c r="AM8"/>
  <c r="AB8"/>
  <c r="AA8"/>
  <c r="AF8" s="1"/>
  <c r="U8"/>
  <c r="V8" s="1"/>
  <c r="P8"/>
  <c r="O8"/>
  <c r="AW8" s="1"/>
  <c r="BC7"/>
  <c r="AU7"/>
  <c r="AR7"/>
  <c r="AQ7"/>
  <c r="AV7" s="1"/>
  <c r="AM7"/>
  <c r="AB7"/>
  <c r="AA7"/>
  <c r="AF7" s="1"/>
  <c r="U7"/>
  <c r="V7" s="1"/>
  <c r="P7"/>
  <c r="O7"/>
  <c r="AW7" s="1"/>
  <c r="BC6"/>
  <c r="AU6"/>
  <c r="AR6"/>
  <c r="AQ6"/>
  <c r="AV6" s="1"/>
  <c r="AM6"/>
  <c r="AB6"/>
  <c r="AA6"/>
  <c r="AF6" s="1"/>
  <c r="U6"/>
  <c r="V6" s="1"/>
  <c r="P6"/>
  <c r="O6"/>
  <c r="AW6" s="1"/>
  <c r="BC5"/>
  <c r="AU5"/>
  <c r="AR5"/>
  <c r="AQ5"/>
  <c r="AV5" s="1"/>
  <c r="AM5"/>
  <c r="AB5"/>
  <c r="AA5"/>
  <c r="AF5" s="1"/>
  <c r="U5"/>
  <c r="V5" s="1"/>
  <c r="P5"/>
  <c r="O5"/>
  <c r="AW5" s="1"/>
  <c r="BC4"/>
  <c r="AU4"/>
  <c r="AR4"/>
  <c r="AQ4"/>
  <c r="AV4" s="1"/>
  <c r="AM4"/>
  <c r="AB4"/>
  <c r="AA4"/>
  <c r="AF4" s="1"/>
  <c r="U4"/>
  <c r="V4" s="1"/>
  <c r="P4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AA22" i="1"/>
  <c r="Z22"/>
  <c r="AB22" s="1"/>
  <c r="T22"/>
  <c r="O22"/>
  <c r="N22"/>
  <c r="P22" s="1"/>
  <c r="K22"/>
  <c r="J22"/>
  <c r="L22" s="1"/>
  <c r="AA21"/>
  <c r="Z21"/>
  <c r="T21"/>
  <c r="O21"/>
  <c r="N21"/>
  <c r="P21" s="1"/>
  <c r="K21"/>
  <c r="J21"/>
  <c r="L21" s="1"/>
  <c r="AB20"/>
  <c r="AA20"/>
  <c r="Z20"/>
  <c r="T20"/>
  <c r="O20"/>
  <c r="N20"/>
  <c r="K20"/>
  <c r="J20"/>
  <c r="L20" s="1"/>
  <c r="AA19"/>
  <c r="Z19"/>
  <c r="AB19" s="1"/>
  <c r="T19"/>
  <c r="O19"/>
  <c r="N19"/>
  <c r="K19"/>
  <c r="J19"/>
  <c r="L19" s="1"/>
  <c r="AA18"/>
  <c r="Z18"/>
  <c r="T18"/>
  <c r="O18"/>
  <c r="N18"/>
  <c r="P18" s="1"/>
  <c r="K18"/>
  <c r="J18"/>
  <c r="L18" s="1"/>
  <c r="AA17"/>
  <c r="Z17"/>
  <c r="T17"/>
  <c r="O17"/>
  <c r="N17"/>
  <c r="P17" s="1"/>
  <c r="K17"/>
  <c r="J17"/>
  <c r="L17" s="1"/>
  <c r="AB16"/>
  <c r="AA16"/>
  <c r="Z16"/>
  <c r="T16"/>
  <c r="O16"/>
  <c r="N16"/>
  <c r="K16"/>
  <c r="J16"/>
  <c r="L16" s="1"/>
  <c r="AA15"/>
  <c r="Z15"/>
  <c r="AB15" s="1"/>
  <c r="T15"/>
  <c r="O15"/>
  <c r="N15"/>
  <c r="K15"/>
  <c r="J15"/>
  <c r="AA14"/>
  <c r="Z14"/>
  <c r="AB14" s="1"/>
  <c r="T14"/>
  <c r="O14"/>
  <c r="N14"/>
  <c r="P14" s="1"/>
  <c r="K14"/>
  <c r="L14" s="1"/>
  <c r="J14"/>
  <c r="AA13"/>
  <c r="Z13"/>
  <c r="AB13" s="1"/>
  <c r="T13"/>
  <c r="O13"/>
  <c r="N13"/>
  <c r="P13" s="1"/>
  <c r="K13"/>
  <c r="J13"/>
  <c r="L13" s="1"/>
  <c r="AA12"/>
  <c r="Z12"/>
  <c r="T12"/>
  <c r="O12"/>
  <c r="N12"/>
  <c r="K12"/>
  <c r="J12"/>
  <c r="L12" s="1"/>
  <c r="AA11"/>
  <c r="Z11"/>
  <c r="AB11" s="1"/>
  <c r="T11"/>
  <c r="O11"/>
  <c r="N11"/>
  <c r="K11"/>
  <c r="J11"/>
  <c r="AA10"/>
  <c r="Z10"/>
  <c r="AB10" s="1"/>
  <c r="T10"/>
  <c r="O10"/>
  <c r="N10"/>
  <c r="P10" s="1"/>
  <c r="K10"/>
  <c r="J10"/>
  <c r="L10" s="1"/>
  <c r="AA9"/>
  <c r="Z9"/>
  <c r="T9"/>
  <c r="O9"/>
  <c r="N9"/>
  <c r="P9" s="1"/>
  <c r="K9"/>
  <c r="J9"/>
  <c r="L9" s="1"/>
  <c r="AA8"/>
  <c r="Z8"/>
  <c r="AB8" s="1"/>
  <c r="T8"/>
  <c r="O8"/>
  <c r="N8"/>
  <c r="K8"/>
  <c r="J8"/>
  <c r="L8" s="1"/>
  <c r="AA7"/>
  <c r="Z7"/>
  <c r="T7"/>
  <c r="O7"/>
  <c r="N7"/>
  <c r="K7"/>
  <c r="J7"/>
  <c r="AA6"/>
  <c r="Z6"/>
  <c r="T6"/>
  <c r="O6"/>
  <c r="N6"/>
  <c r="P6" s="1"/>
  <c r="L6"/>
  <c r="K6"/>
  <c r="J6"/>
  <c r="AA5"/>
  <c r="Z5"/>
  <c r="T5"/>
  <c r="O5"/>
  <c r="N5"/>
  <c r="P5" s="1"/>
  <c r="L5"/>
  <c r="K5"/>
  <c r="J5"/>
  <c r="AB12" l="1"/>
  <c r="V11" i="26"/>
  <c r="W11" s="1"/>
  <c r="X11" s="1"/>
  <c r="V7"/>
  <c r="W7" s="1"/>
  <c r="X7" s="1"/>
  <c r="W3"/>
  <c r="X3" s="1"/>
  <c r="V3"/>
  <c r="AI13"/>
  <c r="AI11"/>
  <c r="AI9"/>
  <c r="AI7"/>
  <c r="AI5"/>
  <c r="AI3"/>
  <c r="AY11"/>
  <c r="AY7"/>
  <c r="AY3"/>
  <c r="W14"/>
  <c r="X14" s="1"/>
  <c r="V14"/>
  <c r="W10"/>
  <c r="X10" s="1"/>
  <c r="V10"/>
  <c r="V6"/>
  <c r="W6" s="1"/>
  <c r="X6" s="1"/>
  <c r="W13"/>
  <c r="X13" s="1"/>
  <c r="V13"/>
  <c r="V9"/>
  <c r="W9" s="1"/>
  <c r="X9" s="1"/>
  <c r="V5"/>
  <c r="W5" s="1"/>
  <c r="X5" s="1"/>
  <c r="AI4"/>
  <c r="V12"/>
  <c r="W12" s="1"/>
  <c r="X12" s="1"/>
  <c r="W8"/>
  <c r="X8" s="1"/>
  <c r="V8"/>
  <c r="W4"/>
  <c r="X4" s="1"/>
  <c r="V4"/>
  <c r="AJ6" i="25"/>
  <c r="AK6" s="1"/>
  <c r="AL6" s="1"/>
  <c r="AN6" s="1"/>
  <c r="AZ6"/>
  <c r="AJ3"/>
  <c r="AK3" s="1"/>
  <c r="AL3" s="1"/>
  <c r="AN3" s="1"/>
  <c r="AZ3"/>
  <c r="AJ4"/>
  <c r="AK4" s="1"/>
  <c r="AL4" s="1"/>
  <c r="AN4" s="1"/>
  <c r="AJ7"/>
  <c r="AK7" s="1"/>
  <c r="AL7" s="1"/>
  <c r="AN7" s="1"/>
  <c r="AZ7"/>
  <c r="AJ5"/>
  <c r="AK5" s="1"/>
  <c r="AL5" s="1"/>
  <c r="AN5" s="1"/>
  <c r="AZ5"/>
  <c r="AJ8"/>
  <c r="AZ8"/>
  <c r="W10"/>
  <c r="X10" s="1"/>
  <c r="V10"/>
  <c r="AY10"/>
  <c r="AY8"/>
  <c r="BA5"/>
  <c r="BB5" s="1"/>
  <c r="BD5" s="1"/>
  <c r="AY4"/>
  <c r="AZ4" s="1"/>
  <c r="BA4" s="1"/>
  <c r="BB4" s="1"/>
  <c r="BD4" s="1"/>
  <c r="W9"/>
  <c r="X9" s="1"/>
  <c r="V9"/>
  <c r="BA8"/>
  <c r="BB8" s="1"/>
  <c r="BD8" s="1"/>
  <c r="AK12"/>
  <c r="AL12" s="1"/>
  <c r="AN12" s="1"/>
  <c r="AK8"/>
  <c r="AL8" s="1"/>
  <c r="AN8" s="1"/>
  <c r="BA7"/>
  <c r="BB7" s="1"/>
  <c r="BD7" s="1"/>
  <c r="BA3"/>
  <c r="BB3" s="1"/>
  <c r="BD3" s="1"/>
  <c r="V11"/>
  <c r="W11" s="1"/>
  <c r="X11" s="1"/>
  <c r="AJ12"/>
  <c r="AZ12"/>
  <c r="BA12" s="1"/>
  <c r="BB12" s="1"/>
  <c r="BD12" s="1"/>
  <c r="BA6"/>
  <c r="BB6" s="1"/>
  <c r="BD6" s="1"/>
  <c r="AJ11" i="24"/>
  <c r="AZ11"/>
  <c r="AJ9"/>
  <c r="AJ3"/>
  <c r="AZ3"/>
  <c r="AZ12"/>
  <c r="AJ13"/>
  <c r="AZ10"/>
  <c r="AJ7"/>
  <c r="AZ7"/>
  <c r="AJ5"/>
  <c r="AZ8"/>
  <c r="AI12"/>
  <c r="AJ12" s="1"/>
  <c r="AK12" s="1"/>
  <c r="AL12" s="1"/>
  <c r="AN12" s="1"/>
  <c r="AI10"/>
  <c r="AJ10" s="1"/>
  <c r="AK10" s="1"/>
  <c r="AL10" s="1"/>
  <c r="AN10" s="1"/>
  <c r="AI8"/>
  <c r="AJ8" s="1"/>
  <c r="AK8" s="1"/>
  <c r="AL8" s="1"/>
  <c r="AN8" s="1"/>
  <c r="AI6"/>
  <c r="AJ6" s="1"/>
  <c r="AK6" s="1"/>
  <c r="AL6" s="1"/>
  <c r="AN6" s="1"/>
  <c r="AI4"/>
  <c r="AJ4" s="1"/>
  <c r="AK4" s="1"/>
  <c r="AL4" s="1"/>
  <c r="AN4" s="1"/>
  <c r="AY13"/>
  <c r="AZ13" s="1"/>
  <c r="BA13" s="1"/>
  <c r="BB13" s="1"/>
  <c r="BA10"/>
  <c r="BB10" s="1"/>
  <c r="BD10" s="1"/>
  <c r="AY9"/>
  <c r="AZ9" s="1"/>
  <c r="BA9" s="1"/>
  <c r="BB9" s="1"/>
  <c r="BD9" s="1"/>
  <c r="AY5"/>
  <c r="AZ5" s="1"/>
  <c r="BA5" s="1"/>
  <c r="BB5" s="1"/>
  <c r="BD5" s="1"/>
  <c r="AY4"/>
  <c r="AZ4" s="1"/>
  <c r="BA4" s="1"/>
  <c r="BB4" s="1"/>
  <c r="BD4" s="1"/>
  <c r="BA12"/>
  <c r="BB12" s="1"/>
  <c r="BD12" s="1"/>
  <c r="BA8"/>
  <c r="BB8" s="1"/>
  <c r="BD8" s="1"/>
  <c r="AK13"/>
  <c r="AL13" s="1"/>
  <c r="AK11"/>
  <c r="AL11" s="1"/>
  <c r="AN11" s="1"/>
  <c r="AK9"/>
  <c r="AL9" s="1"/>
  <c r="AN9" s="1"/>
  <c r="AK7"/>
  <c r="AL7" s="1"/>
  <c r="AN7" s="1"/>
  <c r="AK5"/>
  <c r="AL5" s="1"/>
  <c r="AN5" s="1"/>
  <c r="AK3"/>
  <c r="AL3" s="1"/>
  <c r="AN3" s="1"/>
  <c r="BA11"/>
  <c r="BB11" s="1"/>
  <c r="BD11" s="1"/>
  <c r="BA7"/>
  <c r="BB7" s="1"/>
  <c r="BD7" s="1"/>
  <c r="AY6"/>
  <c r="AZ6" s="1"/>
  <c r="BA6" s="1"/>
  <c r="BB6" s="1"/>
  <c r="BD6" s="1"/>
  <c r="BA3"/>
  <c r="BB3" s="1"/>
  <c r="BD3" s="1"/>
  <c r="AZ36" i="23"/>
  <c r="AZ26"/>
  <c r="AZ24"/>
  <c r="AZ14"/>
  <c r="AZ6"/>
  <c r="AZ34"/>
  <c r="AZ22"/>
  <c r="AZ12"/>
  <c r="AZ8"/>
  <c r="AZ32"/>
  <c r="AZ20"/>
  <c r="AZ10"/>
  <c r="AZ4"/>
  <c r="AZ35"/>
  <c r="AZ30"/>
  <c r="AZ28"/>
  <c r="AZ16"/>
  <c r="AI38"/>
  <c r="AI36"/>
  <c r="AJ36" s="1"/>
  <c r="AK36" s="1"/>
  <c r="AL36" s="1"/>
  <c r="AN36" s="1"/>
  <c r="AI34"/>
  <c r="AJ34" s="1"/>
  <c r="AK34" s="1"/>
  <c r="AL34" s="1"/>
  <c r="AN34" s="1"/>
  <c r="AI32"/>
  <c r="AJ32" s="1"/>
  <c r="AK32" s="1"/>
  <c r="AL32" s="1"/>
  <c r="AN32" s="1"/>
  <c r="AI30"/>
  <c r="AJ30" s="1"/>
  <c r="AK30" s="1"/>
  <c r="AL30" s="1"/>
  <c r="AN30" s="1"/>
  <c r="AI28"/>
  <c r="AJ28" s="1"/>
  <c r="AK28" s="1"/>
  <c r="AL28" s="1"/>
  <c r="AN28" s="1"/>
  <c r="AI26"/>
  <c r="AJ26" s="1"/>
  <c r="AK26" s="1"/>
  <c r="AL26" s="1"/>
  <c r="AN26" s="1"/>
  <c r="AI24"/>
  <c r="AJ24" s="1"/>
  <c r="AK24" s="1"/>
  <c r="AL24" s="1"/>
  <c r="AN24" s="1"/>
  <c r="AI22"/>
  <c r="AJ22" s="1"/>
  <c r="AK22" s="1"/>
  <c r="AL22" s="1"/>
  <c r="AN22" s="1"/>
  <c r="AI20"/>
  <c r="AJ20" s="1"/>
  <c r="AK20" s="1"/>
  <c r="AL20" s="1"/>
  <c r="AN20" s="1"/>
  <c r="AI18"/>
  <c r="AI16"/>
  <c r="AJ16" s="1"/>
  <c r="AK16" s="1"/>
  <c r="AL16" s="1"/>
  <c r="AN16" s="1"/>
  <c r="AI14"/>
  <c r="AJ14" s="1"/>
  <c r="AK14" s="1"/>
  <c r="AL14" s="1"/>
  <c r="AN14" s="1"/>
  <c r="AI12"/>
  <c r="AJ12" s="1"/>
  <c r="AK12" s="1"/>
  <c r="AL12" s="1"/>
  <c r="AN12" s="1"/>
  <c r="AI10"/>
  <c r="AJ10" s="1"/>
  <c r="AK10" s="1"/>
  <c r="AL10" s="1"/>
  <c r="AN10" s="1"/>
  <c r="AI8"/>
  <c r="AJ8" s="1"/>
  <c r="AK8" s="1"/>
  <c r="AL8" s="1"/>
  <c r="AN8" s="1"/>
  <c r="AI6"/>
  <c r="AJ6" s="1"/>
  <c r="AK6" s="1"/>
  <c r="AL6" s="1"/>
  <c r="AI4"/>
  <c r="AJ4" s="1"/>
  <c r="AK4" s="1"/>
  <c r="AL4" s="1"/>
  <c r="AN4" s="1"/>
  <c r="AY39"/>
  <c r="BA36"/>
  <c r="BB36" s="1"/>
  <c r="BD36" s="1"/>
  <c r="AY35"/>
  <c r="BA32"/>
  <c r="BB32" s="1"/>
  <c r="BD32" s="1"/>
  <c r="AY31"/>
  <c r="AZ31" s="1"/>
  <c r="BA31" s="1"/>
  <c r="BB31" s="1"/>
  <c r="BD31" s="1"/>
  <c r="BA28"/>
  <c r="BB28" s="1"/>
  <c r="BD28" s="1"/>
  <c r="AY27"/>
  <c r="AZ27" s="1"/>
  <c r="BA27" s="1"/>
  <c r="BB27" s="1"/>
  <c r="BD27" s="1"/>
  <c r="BA24"/>
  <c r="BB24" s="1"/>
  <c r="BD24" s="1"/>
  <c r="AY23"/>
  <c r="AZ23" s="1"/>
  <c r="BA23" s="1"/>
  <c r="BB23" s="1"/>
  <c r="BD23" s="1"/>
  <c r="BA20"/>
  <c r="BB20" s="1"/>
  <c r="BD20" s="1"/>
  <c r="AY19"/>
  <c r="AZ19" s="1"/>
  <c r="BA19" s="1"/>
  <c r="BB19" s="1"/>
  <c r="BD19" s="1"/>
  <c r="BA16"/>
  <c r="BB16" s="1"/>
  <c r="BD16" s="1"/>
  <c r="AY15"/>
  <c r="AZ15" s="1"/>
  <c r="BA15" s="1"/>
  <c r="BB15" s="1"/>
  <c r="BD15" s="1"/>
  <c r="BA12"/>
  <c r="BB12" s="1"/>
  <c r="BD12" s="1"/>
  <c r="AY11"/>
  <c r="AZ11" s="1"/>
  <c r="AY7"/>
  <c r="AZ7" s="1"/>
  <c r="BA4"/>
  <c r="BB4" s="1"/>
  <c r="BD4" s="1"/>
  <c r="AY3"/>
  <c r="AZ3" s="1"/>
  <c r="BA3" s="1"/>
  <c r="BB3" s="1"/>
  <c r="BD3" s="1"/>
  <c r="AZ39"/>
  <c r="BA39" s="1"/>
  <c r="BB39" s="1"/>
  <c r="BD39" s="1"/>
  <c r="BA35"/>
  <c r="BB35" s="1"/>
  <c r="BD35" s="1"/>
  <c r="BC6"/>
  <c r="BD6"/>
  <c r="AJ38"/>
  <c r="AK38" s="1"/>
  <c r="AL38" s="1"/>
  <c r="AN38" s="1"/>
  <c r="AZ38"/>
  <c r="AJ18"/>
  <c r="AK18" s="1"/>
  <c r="AL18" s="1"/>
  <c r="AN18" s="1"/>
  <c r="AZ18"/>
  <c r="BA18" s="1"/>
  <c r="BB18" s="1"/>
  <c r="BD18" s="1"/>
  <c r="AI39"/>
  <c r="AJ39" s="1"/>
  <c r="AK39" s="1"/>
  <c r="AL39" s="1"/>
  <c r="AN39" s="1"/>
  <c r="AI37"/>
  <c r="AJ37" s="1"/>
  <c r="AK37" s="1"/>
  <c r="AL37" s="1"/>
  <c r="AN37" s="1"/>
  <c r="AI35"/>
  <c r="AJ35" s="1"/>
  <c r="AK35" s="1"/>
  <c r="AL35" s="1"/>
  <c r="AN35" s="1"/>
  <c r="AI33"/>
  <c r="AJ33" s="1"/>
  <c r="AK33" s="1"/>
  <c r="AL33" s="1"/>
  <c r="AN33" s="1"/>
  <c r="AI31"/>
  <c r="AJ31" s="1"/>
  <c r="AK31" s="1"/>
  <c r="AL31" s="1"/>
  <c r="AN31" s="1"/>
  <c r="AI29"/>
  <c r="AI27"/>
  <c r="AJ27" s="1"/>
  <c r="AK27" s="1"/>
  <c r="AL27" s="1"/>
  <c r="AN27" s="1"/>
  <c r="AI25"/>
  <c r="AI23"/>
  <c r="AJ23" s="1"/>
  <c r="AK23" s="1"/>
  <c r="AL23" s="1"/>
  <c r="AN23" s="1"/>
  <c r="AI21"/>
  <c r="AJ21" s="1"/>
  <c r="AK21" s="1"/>
  <c r="AL21" s="1"/>
  <c r="AN21" s="1"/>
  <c r="AI19"/>
  <c r="AJ19" s="1"/>
  <c r="AK19" s="1"/>
  <c r="AL19" s="1"/>
  <c r="AN19" s="1"/>
  <c r="AI17"/>
  <c r="AJ17" s="1"/>
  <c r="AK17" s="1"/>
  <c r="AL17" s="1"/>
  <c r="AN17" s="1"/>
  <c r="AI15"/>
  <c r="AJ15" s="1"/>
  <c r="AK15" s="1"/>
  <c r="AL15" s="1"/>
  <c r="AN15" s="1"/>
  <c r="AI13"/>
  <c r="AJ13" s="1"/>
  <c r="AK13" s="1"/>
  <c r="AL13" s="1"/>
  <c r="AN13" s="1"/>
  <c r="AI11"/>
  <c r="AJ11" s="1"/>
  <c r="AK11" s="1"/>
  <c r="AL11" s="1"/>
  <c r="AN11" s="1"/>
  <c r="AI9"/>
  <c r="AJ9" s="1"/>
  <c r="AK9" s="1"/>
  <c r="AL9" s="1"/>
  <c r="AI7"/>
  <c r="AJ7" s="1"/>
  <c r="AK7" s="1"/>
  <c r="AL7" s="1"/>
  <c r="AN7" s="1"/>
  <c r="AI5"/>
  <c r="AJ5" s="1"/>
  <c r="AK5" s="1"/>
  <c r="AL5" s="1"/>
  <c r="AN5" s="1"/>
  <c r="AI3"/>
  <c r="AJ3" s="1"/>
  <c r="AK3" s="1"/>
  <c r="AL3" s="1"/>
  <c r="AN3" s="1"/>
  <c r="BA38"/>
  <c r="BB38" s="1"/>
  <c r="BD38" s="1"/>
  <c r="AY37"/>
  <c r="AZ37" s="1"/>
  <c r="BA37" s="1"/>
  <c r="BB37" s="1"/>
  <c r="BD37" s="1"/>
  <c r="BA34"/>
  <c r="BB34" s="1"/>
  <c r="BD34" s="1"/>
  <c r="AY33"/>
  <c r="AZ33" s="1"/>
  <c r="BA33" s="1"/>
  <c r="BB33" s="1"/>
  <c r="BD33" s="1"/>
  <c r="BA30"/>
  <c r="BB30" s="1"/>
  <c r="BD30" s="1"/>
  <c r="AY29"/>
  <c r="AZ29" s="1"/>
  <c r="BA29" s="1"/>
  <c r="BB29" s="1"/>
  <c r="BD29" s="1"/>
  <c r="BA26"/>
  <c r="BB26" s="1"/>
  <c r="BD26" s="1"/>
  <c r="AY25"/>
  <c r="BA22"/>
  <c r="BB22" s="1"/>
  <c r="BD22" s="1"/>
  <c r="AY21"/>
  <c r="AZ21" s="1"/>
  <c r="BA21" s="1"/>
  <c r="BB21" s="1"/>
  <c r="BD21" s="1"/>
  <c r="AY17"/>
  <c r="AZ17" s="1"/>
  <c r="BA17" s="1"/>
  <c r="BB17" s="1"/>
  <c r="BD17" s="1"/>
  <c r="BA14"/>
  <c r="BB14" s="1"/>
  <c r="BD14" s="1"/>
  <c r="AY13"/>
  <c r="AZ13" s="1"/>
  <c r="BA13" s="1"/>
  <c r="BB13" s="1"/>
  <c r="BD13" s="1"/>
  <c r="AY9"/>
  <c r="AZ9" s="1"/>
  <c r="AY5"/>
  <c r="AZ5" s="1"/>
  <c r="BC9"/>
  <c r="BD9" s="1"/>
  <c r="AJ29"/>
  <c r="AJ25"/>
  <c r="AK25" s="1"/>
  <c r="AL25" s="1"/>
  <c r="AN25" s="1"/>
  <c r="AZ25"/>
  <c r="AK29"/>
  <c r="AL29" s="1"/>
  <c r="AN29" s="1"/>
  <c r="BA25"/>
  <c r="BB25" s="1"/>
  <c r="BD25" s="1"/>
  <c r="AJ10" i="22"/>
  <c r="AK10" s="1"/>
  <c r="AL10" s="1"/>
  <c r="AN10" s="1"/>
  <c r="AZ10"/>
  <c r="AJ3"/>
  <c r="AZ3"/>
  <c r="AJ4"/>
  <c r="AK4" s="1"/>
  <c r="AL4" s="1"/>
  <c r="AN4" s="1"/>
  <c r="AJ11"/>
  <c r="AZ11"/>
  <c r="AJ5"/>
  <c r="AK5" s="1"/>
  <c r="AL5" s="1"/>
  <c r="AN5" s="1"/>
  <c r="AI12"/>
  <c r="AJ12" s="1"/>
  <c r="AK12" s="1"/>
  <c r="AL12" s="1"/>
  <c r="AI10"/>
  <c r="AI8"/>
  <c r="AJ8" s="1"/>
  <c r="AK8" s="1"/>
  <c r="AL8" s="1"/>
  <c r="AN8" s="1"/>
  <c r="AI6"/>
  <c r="AI4"/>
  <c r="AY13"/>
  <c r="BA10"/>
  <c r="BB10" s="1"/>
  <c r="BD10" s="1"/>
  <c r="AY9"/>
  <c r="AY5"/>
  <c r="AZ5" s="1"/>
  <c r="BA5" s="1"/>
  <c r="BB5" s="1"/>
  <c r="BD5" s="1"/>
  <c r="AJ7"/>
  <c r="AK7" s="1"/>
  <c r="AL7" s="1"/>
  <c r="AN7" s="1"/>
  <c r="AZ7"/>
  <c r="AY12"/>
  <c r="AZ12" s="1"/>
  <c r="BA12" s="1"/>
  <c r="BB12" s="1"/>
  <c r="AY8"/>
  <c r="AZ8" s="1"/>
  <c r="BA8" s="1"/>
  <c r="BB8" s="1"/>
  <c r="BD8" s="1"/>
  <c r="AY4"/>
  <c r="AZ4" s="1"/>
  <c r="BA4" s="1"/>
  <c r="BB4" s="1"/>
  <c r="BD4" s="1"/>
  <c r="AJ6"/>
  <c r="AK6" s="1"/>
  <c r="AL6" s="1"/>
  <c r="AN6" s="1"/>
  <c r="AZ6"/>
  <c r="BA6" s="1"/>
  <c r="BB6" s="1"/>
  <c r="BD6" s="1"/>
  <c r="AJ13"/>
  <c r="AZ13"/>
  <c r="BA13" s="1"/>
  <c r="BB13" s="1"/>
  <c r="BD13" s="1"/>
  <c r="AJ9"/>
  <c r="AZ9"/>
  <c r="BA9" s="1"/>
  <c r="BB9" s="1"/>
  <c r="BD9" s="1"/>
  <c r="AK13"/>
  <c r="AL13" s="1"/>
  <c r="AN13" s="1"/>
  <c r="AK11"/>
  <c r="AL11" s="1"/>
  <c r="AN11" s="1"/>
  <c r="AK9"/>
  <c r="AL9" s="1"/>
  <c r="AN9" s="1"/>
  <c r="AK3"/>
  <c r="AL3" s="1"/>
  <c r="AN3" s="1"/>
  <c r="BA11"/>
  <c r="BB11" s="1"/>
  <c r="BD11" s="1"/>
  <c r="BA7"/>
  <c r="BB7" s="1"/>
  <c r="BD7" s="1"/>
  <c r="BA3"/>
  <c r="BB3" s="1"/>
  <c r="BD3" s="1"/>
  <c r="AZ10" i="21"/>
  <c r="AJ5"/>
  <c r="AZ5"/>
  <c r="AJ25"/>
  <c r="AZ25"/>
  <c r="AJ9"/>
  <c r="AZ9"/>
  <c r="AJ21"/>
  <c r="AZ21"/>
  <c r="AJ17"/>
  <c r="AZ17"/>
  <c r="AJ13"/>
  <c r="AZ13"/>
  <c r="AI30"/>
  <c r="AI28"/>
  <c r="AJ28" s="1"/>
  <c r="AK28" s="1"/>
  <c r="AL28" s="1"/>
  <c r="AN28" s="1"/>
  <c r="AI26"/>
  <c r="AJ26" s="1"/>
  <c r="AK26" s="1"/>
  <c r="AL26" s="1"/>
  <c r="AI24"/>
  <c r="AJ24" s="1"/>
  <c r="AK24" s="1"/>
  <c r="AL24" s="1"/>
  <c r="AN24" s="1"/>
  <c r="AI22"/>
  <c r="AI20"/>
  <c r="AI18"/>
  <c r="AI16"/>
  <c r="AI14"/>
  <c r="AI12"/>
  <c r="AI10"/>
  <c r="AJ10" s="1"/>
  <c r="AK10" s="1"/>
  <c r="AL10" s="1"/>
  <c r="AN10" s="1"/>
  <c r="AI8"/>
  <c r="AJ8" s="1"/>
  <c r="AK8" s="1"/>
  <c r="AL8" s="1"/>
  <c r="AN8" s="1"/>
  <c r="AI6"/>
  <c r="AJ6" s="1"/>
  <c r="AK6" s="1"/>
  <c r="AL6" s="1"/>
  <c r="AN6" s="1"/>
  <c r="AI4"/>
  <c r="AJ4" s="1"/>
  <c r="AK4" s="1"/>
  <c r="AL4" s="1"/>
  <c r="AN4" s="1"/>
  <c r="AY31"/>
  <c r="AY27"/>
  <c r="AY23"/>
  <c r="AY19"/>
  <c r="AY15"/>
  <c r="AY11"/>
  <c r="AY7"/>
  <c r="AY3"/>
  <c r="AJ31"/>
  <c r="AZ31"/>
  <c r="AJ27"/>
  <c r="AZ27"/>
  <c r="BA27" s="1"/>
  <c r="BB27" s="1"/>
  <c r="BD27" s="1"/>
  <c r="AJ20"/>
  <c r="AJ16"/>
  <c r="AK16" s="1"/>
  <c r="AL16" s="1"/>
  <c r="AN16" s="1"/>
  <c r="AJ12"/>
  <c r="AK20"/>
  <c r="AL20" s="1"/>
  <c r="AN20" s="1"/>
  <c r="AK12"/>
  <c r="AL12" s="1"/>
  <c r="AN12" s="1"/>
  <c r="BA31"/>
  <c r="BB31" s="1"/>
  <c r="BD31" s="1"/>
  <c r="AY26"/>
  <c r="AZ26" s="1"/>
  <c r="BA26" s="1"/>
  <c r="BB26" s="1"/>
  <c r="AY22"/>
  <c r="BA11"/>
  <c r="BB11" s="1"/>
  <c r="AY6"/>
  <c r="AZ6" s="1"/>
  <c r="BA6" s="1"/>
  <c r="BB6" s="1"/>
  <c r="BD6" s="1"/>
  <c r="AJ30"/>
  <c r="AK30" s="1"/>
  <c r="AL30" s="1"/>
  <c r="AN30" s="1"/>
  <c r="AZ30"/>
  <c r="BA30" s="1"/>
  <c r="BB30" s="1"/>
  <c r="BD30" s="1"/>
  <c r="AJ11"/>
  <c r="AZ11"/>
  <c r="AJ7"/>
  <c r="AZ7"/>
  <c r="BA7" s="1"/>
  <c r="BB7" s="1"/>
  <c r="BD7" s="1"/>
  <c r="AJ3"/>
  <c r="AZ3"/>
  <c r="BA3" s="1"/>
  <c r="BB3" s="1"/>
  <c r="BD3" s="1"/>
  <c r="AJ23"/>
  <c r="AZ23"/>
  <c r="BA23" s="1"/>
  <c r="BB23" s="1"/>
  <c r="BD23" s="1"/>
  <c r="AJ19"/>
  <c r="AZ19"/>
  <c r="BA19" s="1"/>
  <c r="BB19" s="1"/>
  <c r="BD19" s="1"/>
  <c r="AJ15"/>
  <c r="AZ15"/>
  <c r="BA15" s="1"/>
  <c r="BB15" s="1"/>
  <c r="BD15" s="1"/>
  <c r="BA18"/>
  <c r="BB18" s="1"/>
  <c r="BD18" s="1"/>
  <c r="BA10"/>
  <c r="BB10" s="1"/>
  <c r="BD10" s="1"/>
  <c r="AJ29"/>
  <c r="AK29" s="1"/>
  <c r="AL29" s="1"/>
  <c r="AN29" s="1"/>
  <c r="AZ29"/>
  <c r="AJ22"/>
  <c r="AK22" s="1"/>
  <c r="AL22" s="1"/>
  <c r="AN22" s="1"/>
  <c r="AZ22"/>
  <c r="BA22" s="1"/>
  <c r="BB22" s="1"/>
  <c r="BD22" s="1"/>
  <c r="AJ18"/>
  <c r="AK18" s="1"/>
  <c r="AL18" s="1"/>
  <c r="AN18" s="1"/>
  <c r="AZ18"/>
  <c r="AJ14"/>
  <c r="AK14" s="1"/>
  <c r="AL14" s="1"/>
  <c r="AN14" s="1"/>
  <c r="AZ14"/>
  <c r="BA14" s="1"/>
  <c r="BB14" s="1"/>
  <c r="BD14" s="1"/>
  <c r="AK31"/>
  <c r="AL31" s="1"/>
  <c r="AN31" s="1"/>
  <c r="AK27"/>
  <c r="AL27" s="1"/>
  <c r="AN27" s="1"/>
  <c r="AK25"/>
  <c r="AL25" s="1"/>
  <c r="AN25" s="1"/>
  <c r="AK23"/>
  <c r="AL23" s="1"/>
  <c r="AN23" s="1"/>
  <c r="AK21"/>
  <c r="AL21" s="1"/>
  <c r="AN21" s="1"/>
  <c r="AK19"/>
  <c r="AL19" s="1"/>
  <c r="AN19" s="1"/>
  <c r="AK17"/>
  <c r="AL17" s="1"/>
  <c r="AN17" s="1"/>
  <c r="AK15"/>
  <c r="AL15" s="1"/>
  <c r="AN15" s="1"/>
  <c r="AK13"/>
  <c r="AL13" s="1"/>
  <c r="AN13" s="1"/>
  <c r="AK11"/>
  <c r="AL11" s="1"/>
  <c r="AK9"/>
  <c r="AL9" s="1"/>
  <c r="AN9" s="1"/>
  <c r="AK7"/>
  <c r="AL7" s="1"/>
  <c r="AN7" s="1"/>
  <c r="AK5"/>
  <c r="AL5" s="1"/>
  <c r="AN5" s="1"/>
  <c r="AK3"/>
  <c r="AL3" s="1"/>
  <c r="AN3" s="1"/>
  <c r="BA29"/>
  <c r="BB29" s="1"/>
  <c r="BD29" s="1"/>
  <c r="AY28"/>
  <c r="AZ28" s="1"/>
  <c r="BA28" s="1"/>
  <c r="BB28" s="1"/>
  <c r="BD28" s="1"/>
  <c r="BA25"/>
  <c r="BB25" s="1"/>
  <c r="BD25" s="1"/>
  <c r="AY24"/>
  <c r="AZ24" s="1"/>
  <c r="BA24" s="1"/>
  <c r="BB24" s="1"/>
  <c r="BD24" s="1"/>
  <c r="BA21"/>
  <c r="BB21" s="1"/>
  <c r="BD21" s="1"/>
  <c r="AY20"/>
  <c r="AZ20" s="1"/>
  <c r="BA20" s="1"/>
  <c r="BB20" s="1"/>
  <c r="BD20" s="1"/>
  <c r="BA17"/>
  <c r="BB17" s="1"/>
  <c r="BD17" s="1"/>
  <c r="AY16"/>
  <c r="AZ16" s="1"/>
  <c r="BA16" s="1"/>
  <c r="BB16" s="1"/>
  <c r="BD16" s="1"/>
  <c r="BA13"/>
  <c r="BB13" s="1"/>
  <c r="BD13" s="1"/>
  <c r="AY12"/>
  <c r="AZ12" s="1"/>
  <c r="BA12" s="1"/>
  <c r="BB12" s="1"/>
  <c r="BD12" s="1"/>
  <c r="BA9"/>
  <c r="BB9" s="1"/>
  <c r="BD9" s="1"/>
  <c r="AY8"/>
  <c r="AZ8" s="1"/>
  <c r="BA8" s="1"/>
  <c r="BB8" s="1"/>
  <c r="BD8" s="1"/>
  <c r="BA5"/>
  <c r="BB5" s="1"/>
  <c r="BD5" s="1"/>
  <c r="AY4"/>
  <c r="AZ4" s="1"/>
  <c r="BA4" s="1"/>
  <c r="BB4" s="1"/>
  <c r="BD4" s="1"/>
  <c r="AJ10" i="20"/>
  <c r="AZ10"/>
  <c r="W7"/>
  <c r="X7" s="1"/>
  <c r="V7"/>
  <c r="V4"/>
  <c r="W4" s="1"/>
  <c r="X4" s="1"/>
  <c r="AK10"/>
  <c r="AL10" s="1"/>
  <c r="BA10"/>
  <c r="BB10" s="1"/>
  <c r="AY8"/>
  <c r="AY5"/>
  <c r="W3"/>
  <c r="X3" s="1"/>
  <c r="V3"/>
  <c r="W9"/>
  <c r="X9" s="1"/>
  <c r="V9"/>
  <c r="V6"/>
  <c r="W6" s="1"/>
  <c r="X6" s="1"/>
  <c r="V8"/>
  <c r="W8" s="1"/>
  <c r="X8" s="1"/>
  <c r="W5"/>
  <c r="X5" s="1"/>
  <c r="V5"/>
  <c r="AB5" i="1"/>
  <c r="AB6"/>
  <c r="L7"/>
  <c r="L11"/>
  <c r="P16"/>
  <c r="AB17"/>
  <c r="AB18"/>
  <c r="P19"/>
  <c r="P20"/>
  <c r="AB21"/>
  <c r="P7"/>
  <c r="AB7"/>
  <c r="P8"/>
  <c r="AB9"/>
  <c r="P12"/>
  <c r="L15"/>
  <c r="P15"/>
  <c r="P11"/>
  <c r="V8" i="4"/>
  <c r="W8" s="1"/>
  <c r="X8" s="1"/>
  <c r="V10"/>
  <c r="W10" s="1"/>
  <c r="X10" s="1"/>
  <c r="AE4" i="2"/>
  <c r="AT4"/>
  <c r="AY4" s="1"/>
  <c r="AX4"/>
  <c r="BA4" s="1"/>
  <c r="BB4" s="1"/>
  <c r="BD4" s="1"/>
  <c r="AE5"/>
  <c r="AT5"/>
  <c r="AX5"/>
  <c r="BA5" s="1"/>
  <c r="BB5" s="1"/>
  <c r="BD5" s="1"/>
  <c r="AE6"/>
  <c r="AT6"/>
  <c r="AX6"/>
  <c r="AE7"/>
  <c r="AT7"/>
  <c r="AX7"/>
  <c r="AE8"/>
  <c r="AT8"/>
  <c r="AX8"/>
  <c r="AE9"/>
  <c r="AT9"/>
  <c r="AX9"/>
  <c r="AE10"/>
  <c r="AT10"/>
  <c r="AX10"/>
  <c r="AE11"/>
  <c r="AT11"/>
  <c r="AX11"/>
  <c r="AE12"/>
  <c r="AT12"/>
  <c r="AX12"/>
  <c r="AE13"/>
  <c r="AT13"/>
  <c r="AX13"/>
  <c r="AE14"/>
  <c r="AT14"/>
  <c r="AX14"/>
  <c r="AE15"/>
  <c r="AT15"/>
  <c r="AX15"/>
  <c r="AE16"/>
  <c r="AT16"/>
  <c r="AY16" s="1"/>
  <c r="AX16"/>
  <c r="BA16" s="1"/>
  <c r="BB16" s="1"/>
  <c r="BD16" s="1"/>
  <c r="AE17"/>
  <c r="AT17"/>
  <c r="AY17" s="1"/>
  <c r="AX17"/>
  <c r="AE18"/>
  <c r="AT18"/>
  <c r="AY18" s="1"/>
  <c r="AX18"/>
  <c r="AE19"/>
  <c r="AT19"/>
  <c r="AY19" s="1"/>
  <c r="AX19"/>
  <c r="AE20"/>
  <c r="AT20"/>
  <c r="AY20" s="1"/>
  <c r="AX20"/>
  <c r="AE21"/>
  <c r="AT21"/>
  <c r="AY21" s="1"/>
  <c r="AX21"/>
  <c r="AE22"/>
  <c r="AT22"/>
  <c r="AY22" s="1"/>
  <c r="AX22"/>
  <c r="AE23"/>
  <c r="AT23"/>
  <c r="AY23" s="1"/>
  <c r="AX23"/>
  <c r="X24"/>
  <c r="AE24"/>
  <c r="AT24"/>
  <c r="AY24" s="1"/>
  <c r="AX24"/>
  <c r="X25"/>
  <c r="AE25"/>
  <c r="AT25"/>
  <c r="AY25" s="1"/>
  <c r="AX25"/>
  <c r="AE26"/>
  <c r="AT26"/>
  <c r="AY26" s="1"/>
  <c r="AX26"/>
  <c r="AE27"/>
  <c r="AT27"/>
  <c r="AY27" s="1"/>
  <c r="AX27"/>
  <c r="X28"/>
  <c r="AE28"/>
  <c r="AT28"/>
  <c r="AY28" s="1"/>
  <c r="AX28"/>
  <c r="X29"/>
  <c r="AE29"/>
  <c r="AT29"/>
  <c r="AY29" s="1"/>
  <c r="AX29"/>
  <c r="X30"/>
  <c r="AE30"/>
  <c r="AT30"/>
  <c r="AY30" s="1"/>
  <c r="AX30"/>
  <c r="AE31"/>
  <c r="AT31"/>
  <c r="AY31" s="1"/>
  <c r="AX31"/>
  <c r="AE32"/>
  <c r="AT32"/>
  <c r="AY32" s="1"/>
  <c r="AX32"/>
  <c r="AE33"/>
  <c r="AT33"/>
  <c r="AY33" s="1"/>
  <c r="AX33"/>
  <c r="AE34"/>
  <c r="AT34"/>
  <c r="AY34" s="1"/>
  <c r="AX34"/>
  <c r="AE35"/>
  <c r="AT35"/>
  <c r="AY35" s="1"/>
  <c r="AX35"/>
  <c r="X36"/>
  <c r="AE36"/>
  <c r="AT36"/>
  <c r="AY36" s="1"/>
  <c r="AX36"/>
  <c r="X37"/>
  <c r="AE37"/>
  <c r="AT37"/>
  <c r="AY37" s="1"/>
  <c r="AX37"/>
  <c r="X38"/>
  <c r="AE38"/>
  <c r="AT38"/>
  <c r="AY38" s="1"/>
  <c r="AX38"/>
  <c r="X39"/>
  <c r="AE39"/>
  <c r="AT39"/>
  <c r="AY39" s="1"/>
  <c r="AX39"/>
  <c r="X40"/>
  <c r="AE40"/>
  <c r="AT40"/>
  <c r="AY40" s="1"/>
  <c r="AX40"/>
  <c r="X41"/>
  <c r="AE41"/>
  <c r="AT41"/>
  <c r="AY41" s="1"/>
  <c r="AX41"/>
  <c r="X42"/>
  <c r="AE42"/>
  <c r="AT42"/>
  <c r="AY42" s="1"/>
  <c r="AX42"/>
  <c r="X43"/>
  <c r="AE43"/>
  <c r="AT43"/>
  <c r="AY43" s="1"/>
  <c r="AX43"/>
  <c r="X44"/>
  <c r="AE44"/>
  <c r="AT44"/>
  <c r="AY44" s="1"/>
  <c r="AX44"/>
  <c r="X45"/>
  <c r="AE45"/>
  <c r="AT45"/>
  <c r="AY45" s="1"/>
  <c r="AX45"/>
  <c r="X46"/>
  <c r="AE46"/>
  <c r="AT46"/>
  <c r="AY46" s="1"/>
  <c r="AX46"/>
  <c r="X47"/>
  <c r="AE47"/>
  <c r="AT47"/>
  <c r="AY47" s="1"/>
  <c r="AX47"/>
  <c r="X48"/>
  <c r="AE48"/>
  <c r="AT48"/>
  <c r="AY48" s="1"/>
  <c r="AX48"/>
  <c r="X49"/>
  <c r="AE49"/>
  <c r="AT49"/>
  <c r="AY49" s="1"/>
  <c r="AX49"/>
  <c r="X50"/>
  <c r="AE50"/>
  <c r="AT50"/>
  <c r="AY50" s="1"/>
  <c r="AX50"/>
  <c r="X51"/>
  <c r="AE51"/>
  <c r="AT51"/>
  <c r="AY51" s="1"/>
  <c r="AX51"/>
  <c r="X52"/>
  <c r="AE52"/>
  <c r="AT52"/>
  <c r="AY52" s="1"/>
  <c r="AX52"/>
  <c r="X53"/>
  <c r="AE53"/>
  <c r="AT53"/>
  <c r="AY53" s="1"/>
  <c r="AX53"/>
  <c r="X54"/>
  <c r="AE54"/>
  <c r="AT54"/>
  <c r="AY54" s="1"/>
  <c r="AX54"/>
  <c r="X55"/>
  <c r="AE55"/>
  <c r="AT55"/>
  <c r="AY55" s="1"/>
  <c r="AX55"/>
  <c r="X56"/>
  <c r="AE56"/>
  <c r="AT56"/>
  <c r="AY56" s="1"/>
  <c r="AX56"/>
  <c r="X57"/>
  <c r="AE57"/>
  <c r="AT57"/>
  <c r="AY57" s="1"/>
  <c r="AX57"/>
  <c r="X58"/>
  <c r="AE58"/>
  <c r="AT58"/>
  <c r="AY58" s="1"/>
  <c r="AX58"/>
  <c r="X59"/>
  <c r="AE59"/>
  <c r="AT59"/>
  <c r="AY59" s="1"/>
  <c r="AX59"/>
  <c r="X60"/>
  <c r="AE60"/>
  <c r="AT60"/>
  <c r="AY60" s="1"/>
  <c r="AX60"/>
  <c r="X61"/>
  <c r="AE61"/>
  <c r="AT61"/>
  <c r="AY61" s="1"/>
  <c r="AX61"/>
  <c r="X62"/>
  <c r="AE62"/>
  <c r="AT62"/>
  <c r="AY62" s="1"/>
  <c r="AX62"/>
  <c r="X63"/>
  <c r="AE63"/>
  <c r="AT63"/>
  <c r="AY63" s="1"/>
  <c r="AX63"/>
  <c r="X64"/>
  <c r="AE64"/>
  <c r="AT64"/>
  <c r="AY64" s="1"/>
  <c r="AX64"/>
  <c r="X65"/>
  <c r="AE65"/>
  <c r="AT65"/>
  <c r="AY65" s="1"/>
  <c r="AX65"/>
  <c r="X66"/>
  <c r="AE66"/>
  <c r="AT66"/>
  <c r="AY66" s="1"/>
  <c r="AX66"/>
  <c r="X67"/>
  <c r="AE67"/>
  <c r="AT67"/>
  <c r="AY67" s="1"/>
  <c r="AX67"/>
  <c r="X68"/>
  <c r="AE68"/>
  <c r="AT68"/>
  <c r="AY68" s="1"/>
  <c r="AX68"/>
  <c r="X69"/>
  <c r="AE69"/>
  <c r="AT69"/>
  <c r="AY69" s="1"/>
  <c r="AX69"/>
  <c r="X70"/>
  <c r="AE70"/>
  <c r="AT70"/>
  <c r="AY70" s="1"/>
  <c r="AX70"/>
  <c r="X71"/>
  <c r="AE71"/>
  <c r="AT71"/>
  <c r="AY71" s="1"/>
  <c r="AX71"/>
  <c r="X72"/>
  <c r="AE72"/>
  <c r="AT72"/>
  <c r="AY72" s="1"/>
  <c r="AX72"/>
  <c r="X73"/>
  <c r="AE73"/>
  <c r="AT73"/>
  <c r="AY73" s="1"/>
  <c r="AX73"/>
  <c r="X74"/>
  <c r="AE74"/>
  <c r="AT74"/>
  <c r="AY74" s="1"/>
  <c r="AX74"/>
  <c r="AG4" i="3"/>
  <c r="AV4"/>
  <c r="AG5"/>
  <c r="AV5"/>
  <c r="AG6"/>
  <c r="AV6"/>
  <c r="AG7"/>
  <c r="AV7"/>
  <c r="AG8"/>
  <c r="AV8"/>
  <c r="AG9"/>
  <c r="AV9"/>
  <c r="AY9" s="1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W9" i="4"/>
  <c r="AY111" i="6"/>
  <c r="W10" i="3"/>
  <c r="X10" s="1"/>
  <c r="W11"/>
  <c r="X11" s="1"/>
  <c r="W12"/>
  <c r="X12" s="1"/>
  <c r="W13"/>
  <c r="X13" s="1"/>
  <c r="W14"/>
  <c r="X14" s="1"/>
  <c r="W15"/>
  <c r="X15" s="1"/>
  <c r="W16"/>
  <c r="X16" s="1"/>
  <c r="W17"/>
  <c r="X17" s="1"/>
  <c r="W18"/>
  <c r="X18" s="1"/>
  <c r="W19"/>
  <c r="X19" s="1"/>
  <c r="W20"/>
  <c r="X20" s="1"/>
  <c r="W21"/>
  <c r="X21" s="1"/>
  <c r="X22"/>
  <c r="W22"/>
  <c r="X23"/>
  <c r="W23"/>
  <c r="X24"/>
  <c r="W24"/>
  <c r="X25"/>
  <c r="W25"/>
  <c r="X26"/>
  <c r="W26"/>
  <c r="X27"/>
  <c r="W27"/>
  <c r="X28"/>
  <c r="W28"/>
  <c r="X29"/>
  <c r="W29"/>
  <c r="X30"/>
  <c r="W30"/>
  <c r="AV4" i="4"/>
  <c r="AY4" s="1"/>
  <c r="AZ4" s="1"/>
  <c r="AG4"/>
  <c r="AU4"/>
  <c r="AF4"/>
  <c r="AI4" s="1"/>
  <c r="AJ4" s="1"/>
  <c r="AV5"/>
  <c r="AY5" s="1"/>
  <c r="AZ5" s="1"/>
  <c r="AG5"/>
  <c r="AU5"/>
  <c r="AF5"/>
  <c r="AI5" s="1"/>
  <c r="AJ5" s="1"/>
  <c r="AV6"/>
  <c r="AY6" s="1"/>
  <c r="AZ6" s="1"/>
  <c r="AG6"/>
  <c r="AU6"/>
  <c r="AF6"/>
  <c r="AI6" s="1"/>
  <c r="AJ6" s="1"/>
  <c r="AV7"/>
  <c r="AG7"/>
  <c r="AU7"/>
  <c r="AY7" s="1"/>
  <c r="AZ7" s="1"/>
  <c r="AF7"/>
  <c r="AI7" s="1"/>
  <c r="AJ7" s="1"/>
  <c r="AV8"/>
  <c r="AG8"/>
  <c r="AX8"/>
  <c r="AT8"/>
  <c r="AE8"/>
  <c r="AI8" s="1"/>
  <c r="AU8"/>
  <c r="AF8"/>
  <c r="AV10"/>
  <c r="AG10"/>
  <c r="AX10"/>
  <c r="AT10"/>
  <c r="AE10"/>
  <c r="AI10" s="1"/>
  <c r="AU10"/>
  <c r="AF10"/>
  <c r="V4" i="6"/>
  <c r="W4"/>
  <c r="X4" s="1"/>
  <c r="V5"/>
  <c r="W5" s="1"/>
  <c r="X5" s="1"/>
  <c r="V6"/>
  <c r="W6"/>
  <c r="X6" s="1"/>
  <c r="V7"/>
  <c r="W7" s="1"/>
  <c r="X7" s="1"/>
  <c r="V8"/>
  <c r="W8"/>
  <c r="X8" s="1"/>
  <c r="V9"/>
  <c r="W9" s="1"/>
  <c r="X9" s="1"/>
  <c r="V10"/>
  <c r="W10"/>
  <c r="X10" s="1"/>
  <c r="V11"/>
  <c r="W11" s="1"/>
  <c r="X11" s="1"/>
  <c r="V12"/>
  <c r="W12"/>
  <c r="X12" s="1"/>
  <c r="V13"/>
  <c r="W13" s="1"/>
  <c r="X13" s="1"/>
  <c r="V14"/>
  <c r="W14"/>
  <c r="X14" s="1"/>
  <c r="V15"/>
  <c r="W15" s="1"/>
  <c r="X15" s="1"/>
  <c r="V16"/>
  <c r="W16"/>
  <c r="X16" s="1"/>
  <c r="V17"/>
  <c r="W17" s="1"/>
  <c r="X17" s="1"/>
  <c r="V18"/>
  <c r="W18"/>
  <c r="X18" s="1"/>
  <c r="V19"/>
  <c r="W19" s="1"/>
  <c r="X19" s="1"/>
  <c r="V20"/>
  <c r="W20"/>
  <c r="X20" s="1"/>
  <c r="V21"/>
  <c r="W21" s="1"/>
  <c r="X21" s="1"/>
  <c r="V22"/>
  <c r="W22"/>
  <c r="X22" s="1"/>
  <c r="V23"/>
  <c r="W23" s="1"/>
  <c r="X23" s="1"/>
  <c r="V24"/>
  <c r="W24"/>
  <c r="X24" s="1"/>
  <c r="V25"/>
  <c r="W25" s="1"/>
  <c r="X25" s="1"/>
  <c r="V26"/>
  <c r="W26"/>
  <c r="X26" s="1"/>
  <c r="V27"/>
  <c r="W27" s="1"/>
  <c r="X27" s="1"/>
  <c r="V28"/>
  <c r="W28"/>
  <c r="X28" s="1"/>
  <c r="V29"/>
  <c r="W29" s="1"/>
  <c r="X29" s="1"/>
  <c r="V30"/>
  <c r="W30"/>
  <c r="X30" s="1"/>
  <c r="V31"/>
  <c r="W31" s="1"/>
  <c r="X31" s="1"/>
  <c r="V32"/>
  <c r="W32"/>
  <c r="X32" s="1"/>
  <c r="V33"/>
  <c r="W33" s="1"/>
  <c r="X33" s="1"/>
  <c r="V34"/>
  <c r="W34"/>
  <c r="X34" s="1"/>
  <c r="V35"/>
  <c r="W35" s="1"/>
  <c r="X35" s="1"/>
  <c r="V36"/>
  <c r="W36"/>
  <c r="X36" s="1"/>
  <c r="V37"/>
  <c r="W37" s="1"/>
  <c r="X37" s="1"/>
  <c r="V38"/>
  <c r="W38"/>
  <c r="X38" s="1"/>
  <c r="V39"/>
  <c r="W39" s="1"/>
  <c r="X39" s="1"/>
  <c r="V40"/>
  <c r="W40"/>
  <c r="X40" s="1"/>
  <c r="V41"/>
  <c r="W41" s="1"/>
  <c r="X41" s="1"/>
  <c r="V42"/>
  <c r="W42"/>
  <c r="X42" s="1"/>
  <c r="V43"/>
  <c r="W43" s="1"/>
  <c r="X43" s="1"/>
  <c r="V44"/>
  <c r="W44"/>
  <c r="X44" s="1"/>
  <c r="V45"/>
  <c r="W45" s="1"/>
  <c r="X45" s="1"/>
  <c r="V46"/>
  <c r="W46"/>
  <c r="X46" s="1"/>
  <c r="V47"/>
  <c r="W47" s="1"/>
  <c r="X47" s="1"/>
  <c r="V48"/>
  <c r="W48"/>
  <c r="X48" s="1"/>
  <c r="V49"/>
  <c r="W49" s="1"/>
  <c r="X49" s="1"/>
  <c r="V50"/>
  <c r="W50"/>
  <c r="X50" s="1"/>
  <c r="V51"/>
  <c r="W51" s="1"/>
  <c r="X51" s="1"/>
  <c r="V52"/>
  <c r="W52"/>
  <c r="X52" s="1"/>
  <c r="V53"/>
  <c r="W53" s="1"/>
  <c r="X53" s="1"/>
  <c r="V54"/>
  <c r="W54"/>
  <c r="X54" s="1"/>
  <c r="V55"/>
  <c r="W55" s="1"/>
  <c r="X55" s="1"/>
  <c r="V56"/>
  <c r="W56"/>
  <c r="X56" s="1"/>
  <c r="V57"/>
  <c r="W57" s="1"/>
  <c r="X57" s="1"/>
  <c r="V58"/>
  <c r="W58"/>
  <c r="X58" s="1"/>
  <c r="V59"/>
  <c r="W59" s="1"/>
  <c r="X59" s="1"/>
  <c r="V60"/>
  <c r="W60"/>
  <c r="X60" s="1"/>
  <c r="V61"/>
  <c r="W61" s="1"/>
  <c r="X61" s="1"/>
  <c r="V62"/>
  <c r="W62"/>
  <c r="X62" s="1"/>
  <c r="V63"/>
  <c r="W63" s="1"/>
  <c r="X63" s="1"/>
  <c r="W4" i="2"/>
  <c r="X4" s="1"/>
  <c r="AD4"/>
  <c r="AI4" s="1"/>
  <c r="AH4"/>
  <c r="W5"/>
  <c r="X5" s="1"/>
  <c r="AD5"/>
  <c r="AI5" s="1"/>
  <c r="AH5"/>
  <c r="W6"/>
  <c r="X6" s="1"/>
  <c r="AD6"/>
  <c r="AI6" s="1"/>
  <c r="AH6"/>
  <c r="W7"/>
  <c r="X7" s="1"/>
  <c r="AD7"/>
  <c r="AI7" s="1"/>
  <c r="AH7"/>
  <c r="W8"/>
  <c r="X8" s="1"/>
  <c r="AD8"/>
  <c r="AI8" s="1"/>
  <c r="AH8"/>
  <c r="W9"/>
  <c r="X9" s="1"/>
  <c r="AD9"/>
  <c r="AI9" s="1"/>
  <c r="AH9"/>
  <c r="W10"/>
  <c r="X10" s="1"/>
  <c r="AD10"/>
  <c r="AI10" s="1"/>
  <c r="AH10"/>
  <c r="W11"/>
  <c r="X11" s="1"/>
  <c r="AD11"/>
  <c r="AI11" s="1"/>
  <c r="AH11"/>
  <c r="W12"/>
  <c r="X12" s="1"/>
  <c r="AD12"/>
  <c r="AI12" s="1"/>
  <c r="AH12"/>
  <c r="W13"/>
  <c r="X13" s="1"/>
  <c r="AD13"/>
  <c r="AI13" s="1"/>
  <c r="AH13"/>
  <c r="W14"/>
  <c r="X14" s="1"/>
  <c r="AD14"/>
  <c r="AI14" s="1"/>
  <c r="AH14"/>
  <c r="W15"/>
  <c r="X15" s="1"/>
  <c r="AD15"/>
  <c r="AI15" s="1"/>
  <c r="AH15"/>
  <c r="W16"/>
  <c r="X16" s="1"/>
  <c r="AD16"/>
  <c r="AI16" s="1"/>
  <c r="AH16"/>
  <c r="W17"/>
  <c r="X17" s="1"/>
  <c r="AD17"/>
  <c r="AI17" s="1"/>
  <c r="AH17"/>
  <c r="W18"/>
  <c r="X18" s="1"/>
  <c r="AD18"/>
  <c r="AI18" s="1"/>
  <c r="AH18"/>
  <c r="W19"/>
  <c r="X19" s="1"/>
  <c r="AD19"/>
  <c r="AI19" s="1"/>
  <c r="AH19"/>
  <c r="W20"/>
  <c r="X20" s="1"/>
  <c r="AD20"/>
  <c r="AI20" s="1"/>
  <c r="AH20"/>
  <c r="W21"/>
  <c r="X21" s="1"/>
  <c r="AD21"/>
  <c r="AI21" s="1"/>
  <c r="AH21"/>
  <c r="W22"/>
  <c r="X22" s="1"/>
  <c r="AD22"/>
  <c r="AI22" s="1"/>
  <c r="AH22"/>
  <c r="W23"/>
  <c r="X23" s="1"/>
  <c r="AD23"/>
  <c r="AI23" s="1"/>
  <c r="AH23"/>
  <c r="AD24"/>
  <c r="AI24" s="1"/>
  <c r="AH24"/>
  <c r="AD25"/>
  <c r="AI25" s="1"/>
  <c r="AH25"/>
  <c r="W26"/>
  <c r="X26" s="1"/>
  <c r="AD26"/>
  <c r="AI26" s="1"/>
  <c r="AH26"/>
  <c r="W27"/>
  <c r="X27" s="1"/>
  <c r="AD27"/>
  <c r="AI27" s="1"/>
  <c r="AH27"/>
  <c r="AD28"/>
  <c r="AI28" s="1"/>
  <c r="AH28"/>
  <c r="AD29"/>
  <c r="AI29" s="1"/>
  <c r="AH29"/>
  <c r="AD30"/>
  <c r="AI30" s="1"/>
  <c r="AH30"/>
  <c r="W31"/>
  <c r="X31" s="1"/>
  <c r="AD31"/>
  <c r="AI31" s="1"/>
  <c r="AH31"/>
  <c r="W32"/>
  <c r="X32" s="1"/>
  <c r="AD32"/>
  <c r="AI32" s="1"/>
  <c r="AH32"/>
  <c r="W33"/>
  <c r="X33" s="1"/>
  <c r="AD33"/>
  <c r="AI33" s="1"/>
  <c r="AH33"/>
  <c r="W34"/>
  <c r="X34" s="1"/>
  <c r="AD34"/>
  <c r="AI34" s="1"/>
  <c r="AH34"/>
  <c r="W35"/>
  <c r="X35" s="1"/>
  <c r="AD35"/>
  <c r="AI35" s="1"/>
  <c r="AH35"/>
  <c r="AD36"/>
  <c r="AI36" s="1"/>
  <c r="AH36"/>
  <c r="AD37"/>
  <c r="AI37" s="1"/>
  <c r="AH37"/>
  <c r="AD38"/>
  <c r="AI38" s="1"/>
  <c r="AH38"/>
  <c r="AD39"/>
  <c r="AI39" s="1"/>
  <c r="AH39"/>
  <c r="AD40"/>
  <c r="AI40" s="1"/>
  <c r="AH40"/>
  <c r="AD41"/>
  <c r="AI41" s="1"/>
  <c r="AH41"/>
  <c r="AD42"/>
  <c r="AI42" s="1"/>
  <c r="AH42"/>
  <c r="AD43"/>
  <c r="AI43" s="1"/>
  <c r="AH43"/>
  <c r="AD44"/>
  <c r="AI44" s="1"/>
  <c r="AH44"/>
  <c r="AD45"/>
  <c r="AI45" s="1"/>
  <c r="AH45"/>
  <c r="AD46"/>
  <c r="AI46" s="1"/>
  <c r="AH46"/>
  <c r="AD47"/>
  <c r="AI47" s="1"/>
  <c r="AH47"/>
  <c r="AD48"/>
  <c r="AI48" s="1"/>
  <c r="AH48"/>
  <c r="AD49"/>
  <c r="AI49" s="1"/>
  <c r="AH49"/>
  <c r="AD50"/>
  <c r="AI50" s="1"/>
  <c r="AH50"/>
  <c r="AD51"/>
  <c r="AI51" s="1"/>
  <c r="AH51"/>
  <c r="AD52"/>
  <c r="AI52" s="1"/>
  <c r="AH52"/>
  <c r="AD53"/>
  <c r="AI53" s="1"/>
  <c r="AH53"/>
  <c r="AD54"/>
  <c r="AI54" s="1"/>
  <c r="AH54"/>
  <c r="AD55"/>
  <c r="AI55" s="1"/>
  <c r="AH55"/>
  <c r="AD56"/>
  <c r="AI56" s="1"/>
  <c r="AH56"/>
  <c r="AD57"/>
  <c r="AI57" s="1"/>
  <c r="AH57"/>
  <c r="AD58"/>
  <c r="AI58" s="1"/>
  <c r="AH58"/>
  <c r="AD59"/>
  <c r="AI59" s="1"/>
  <c r="AH59"/>
  <c r="AD60"/>
  <c r="AI60" s="1"/>
  <c r="AH60"/>
  <c r="AD61"/>
  <c r="AI61" s="1"/>
  <c r="AH61"/>
  <c r="AD62"/>
  <c r="AI62" s="1"/>
  <c r="AH62"/>
  <c r="AD63"/>
  <c r="AI63" s="1"/>
  <c r="AH63"/>
  <c r="AD64"/>
  <c r="AI64" s="1"/>
  <c r="AH64"/>
  <c r="AD65"/>
  <c r="AI65" s="1"/>
  <c r="AH65"/>
  <c r="AD66"/>
  <c r="AI66" s="1"/>
  <c r="AH66"/>
  <c r="AD67"/>
  <c r="AI67" s="1"/>
  <c r="AH67"/>
  <c r="AD68"/>
  <c r="AI68" s="1"/>
  <c r="AH68"/>
  <c r="AD69"/>
  <c r="AI69" s="1"/>
  <c r="AH69"/>
  <c r="AD70"/>
  <c r="AI70" s="1"/>
  <c r="AH70"/>
  <c r="AD71"/>
  <c r="AI71" s="1"/>
  <c r="AH71"/>
  <c r="AD72"/>
  <c r="AI72" s="1"/>
  <c r="AH72"/>
  <c r="AD73"/>
  <c r="AI73" s="1"/>
  <c r="AH73"/>
  <c r="AD74"/>
  <c r="AI74" s="1"/>
  <c r="AH74"/>
  <c r="U4" i="3"/>
  <c r="AF4"/>
  <c r="AU4"/>
  <c r="U5"/>
  <c r="AF5"/>
  <c r="AU5"/>
  <c r="U6"/>
  <c r="AF6"/>
  <c r="AU6"/>
  <c r="U7"/>
  <c r="AF7"/>
  <c r="AU7"/>
  <c r="U8"/>
  <c r="AF8"/>
  <c r="AU8"/>
  <c r="U9"/>
  <c r="AF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H4" i="4"/>
  <c r="AX4"/>
  <c r="AH5"/>
  <c r="AX5"/>
  <c r="AH6"/>
  <c r="AX6"/>
  <c r="AH7"/>
  <c r="AX7"/>
  <c r="V9"/>
  <c r="W9" s="1"/>
  <c r="X9" s="1"/>
  <c r="AG4" i="2"/>
  <c r="AG5"/>
  <c r="AG6"/>
  <c r="AG7"/>
  <c r="AG8"/>
  <c r="AG9"/>
  <c r="AG10"/>
  <c r="AG11"/>
  <c r="AG12"/>
  <c r="AG13"/>
  <c r="AG14"/>
  <c r="AG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G32"/>
  <c r="AV32"/>
  <c r="AG33"/>
  <c r="AV33"/>
  <c r="AG34"/>
  <c r="AV34"/>
  <c r="AG35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E4" i="3"/>
  <c r="AT4"/>
  <c r="AY4" s="1"/>
  <c r="AE5"/>
  <c r="AT5"/>
  <c r="AY5" s="1"/>
  <c r="AE6"/>
  <c r="AT6"/>
  <c r="AY6" s="1"/>
  <c r="AE7"/>
  <c r="AT7"/>
  <c r="AY7" s="1"/>
  <c r="AE8"/>
  <c r="AT8"/>
  <c r="AY8" s="1"/>
  <c r="AE9"/>
  <c r="AX9"/>
  <c r="AW9"/>
  <c r="AV9" i="4"/>
  <c r="AG9"/>
  <c r="AX9"/>
  <c r="AT9"/>
  <c r="AY9" s="1"/>
  <c r="AE9"/>
  <c r="AI9" s="1"/>
  <c r="AU9"/>
  <c r="AF9"/>
  <c r="V64" i="6"/>
  <c r="W64"/>
  <c r="X64" s="1"/>
  <c r="V65"/>
  <c r="W65" s="1"/>
  <c r="X65" s="1"/>
  <c r="V66"/>
  <c r="W66"/>
  <c r="X66" s="1"/>
  <c r="V67"/>
  <c r="W67" s="1"/>
  <c r="X67" s="1"/>
  <c r="V68"/>
  <c r="W68"/>
  <c r="X68" s="1"/>
  <c r="AU16" i="2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D4" i="3"/>
  <c r="AH4"/>
  <c r="AD5"/>
  <c r="AH5"/>
  <c r="AD6"/>
  <c r="AH6"/>
  <c r="AD7"/>
  <c r="AH7"/>
  <c r="AD8"/>
  <c r="AH8"/>
  <c r="AD9"/>
  <c r="AH9"/>
  <c r="AY8" i="4"/>
  <c r="AY10"/>
  <c r="AE124" i="6"/>
  <c r="AG124"/>
  <c r="AE126"/>
  <c r="AG126"/>
  <c r="AE128"/>
  <c r="AG128"/>
  <c r="AE130"/>
  <c r="AG130"/>
  <c r="AE132"/>
  <c r="AG132"/>
  <c r="AE134"/>
  <c r="AG134"/>
  <c r="AE136"/>
  <c r="AG136"/>
  <c r="AE138"/>
  <c r="AG138"/>
  <c r="AE140"/>
  <c r="AG140"/>
  <c r="AE142"/>
  <c r="AG142"/>
  <c r="AE144"/>
  <c r="AG144"/>
  <c r="V169"/>
  <c r="W169"/>
  <c r="X169" s="1"/>
  <c r="V171"/>
  <c r="W171" s="1"/>
  <c r="X171" s="1"/>
  <c r="X173"/>
  <c r="V173"/>
  <c r="W173"/>
  <c r="V175"/>
  <c r="W175" s="1"/>
  <c r="X175" s="1"/>
  <c r="V177"/>
  <c r="W177"/>
  <c r="X177" s="1"/>
  <c r="V179"/>
  <c r="W179" s="1"/>
  <c r="X179" s="1"/>
  <c r="AD10" i="3"/>
  <c r="AI10" s="1"/>
  <c r="AH10"/>
  <c r="AW10"/>
  <c r="AD11"/>
  <c r="AI11" s="1"/>
  <c r="AH11"/>
  <c r="AW11"/>
  <c r="AD12"/>
  <c r="AI12" s="1"/>
  <c r="AH12"/>
  <c r="AW12"/>
  <c r="AD13"/>
  <c r="AH13"/>
  <c r="AW13"/>
  <c r="AD14"/>
  <c r="AI14" s="1"/>
  <c r="AH14"/>
  <c r="AW14"/>
  <c r="AD15"/>
  <c r="AI15" s="1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I22" s="1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F4" i="6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F14"/>
  <c r="AU14"/>
  <c r="AF15"/>
  <c r="AU15"/>
  <c r="AF16"/>
  <c r="AU16"/>
  <c r="AF17"/>
  <c r="AU17"/>
  <c r="AF18"/>
  <c r="AU18"/>
  <c r="AF19"/>
  <c r="AU19"/>
  <c r="AF20"/>
  <c r="AU20"/>
  <c r="AF21"/>
  <c r="AU21"/>
  <c r="AF22"/>
  <c r="AU22"/>
  <c r="AF23"/>
  <c r="AU23"/>
  <c r="AF24"/>
  <c r="AU24"/>
  <c r="AF25"/>
  <c r="AU25"/>
  <c r="AF26"/>
  <c r="AU26"/>
  <c r="AF27"/>
  <c r="AU27"/>
  <c r="AF28"/>
  <c r="AU28"/>
  <c r="AF29"/>
  <c r="AU29"/>
  <c r="AF30"/>
  <c r="AU30"/>
  <c r="AF31"/>
  <c r="AU31"/>
  <c r="AF32"/>
  <c r="AU32"/>
  <c r="AF33"/>
  <c r="AU33"/>
  <c r="AF34"/>
  <c r="AU34"/>
  <c r="AF35"/>
  <c r="AU35"/>
  <c r="AF36"/>
  <c r="AU36"/>
  <c r="AF37"/>
  <c r="AU37"/>
  <c r="AF38"/>
  <c r="AU38"/>
  <c r="AF39"/>
  <c r="AU39"/>
  <c r="AF40"/>
  <c r="AU40"/>
  <c r="AF41"/>
  <c r="AU41"/>
  <c r="AF42"/>
  <c r="AU42"/>
  <c r="AF43"/>
  <c r="AU43"/>
  <c r="AF44"/>
  <c r="AU44"/>
  <c r="AF45"/>
  <c r="AU45"/>
  <c r="AF46"/>
  <c r="AU46"/>
  <c r="AF47"/>
  <c r="AU47"/>
  <c r="AF48"/>
  <c r="AU48"/>
  <c r="AF49"/>
  <c r="AU49"/>
  <c r="AF50"/>
  <c r="AU50"/>
  <c r="AF51"/>
  <c r="AU51"/>
  <c r="AF52"/>
  <c r="AU52"/>
  <c r="AF53"/>
  <c r="AU53"/>
  <c r="AF54"/>
  <c r="AU54"/>
  <c r="AF55"/>
  <c r="AU55"/>
  <c r="AF56"/>
  <c r="AU56"/>
  <c r="AF57"/>
  <c r="AU57"/>
  <c r="AF58"/>
  <c r="AU58"/>
  <c r="AF59"/>
  <c r="AU59"/>
  <c r="AF60"/>
  <c r="AU60"/>
  <c r="AF61"/>
  <c r="AU61"/>
  <c r="AF62"/>
  <c r="AU62"/>
  <c r="AF63"/>
  <c r="AU63"/>
  <c r="AF64"/>
  <c r="AU64"/>
  <c r="AF65"/>
  <c r="AU65"/>
  <c r="AF66"/>
  <c r="AU66"/>
  <c r="AF67"/>
  <c r="AU67"/>
  <c r="AF68"/>
  <c r="AU68"/>
  <c r="U69"/>
  <c r="AF69"/>
  <c r="AU69"/>
  <c r="U70"/>
  <c r="AF70"/>
  <c r="AU70"/>
  <c r="U71"/>
  <c r="AF71"/>
  <c r="AU71"/>
  <c r="U72"/>
  <c r="AF72"/>
  <c r="AU72"/>
  <c r="U73"/>
  <c r="AF73"/>
  <c r="AU73"/>
  <c r="U74"/>
  <c r="AF74"/>
  <c r="AU74"/>
  <c r="U75"/>
  <c r="AF75"/>
  <c r="AU75"/>
  <c r="U76"/>
  <c r="AF76"/>
  <c r="AU76"/>
  <c r="U77"/>
  <c r="AF77"/>
  <c r="AU77"/>
  <c r="U78"/>
  <c r="AF78"/>
  <c r="AU78"/>
  <c r="U79"/>
  <c r="AF79"/>
  <c r="AU79"/>
  <c r="U80"/>
  <c r="AF80"/>
  <c r="AU80"/>
  <c r="U81"/>
  <c r="AF81"/>
  <c r="AU81"/>
  <c r="U82"/>
  <c r="AF82"/>
  <c r="AU82"/>
  <c r="U83"/>
  <c r="AF83"/>
  <c r="AU83"/>
  <c r="U84"/>
  <c r="AF84"/>
  <c r="AU84"/>
  <c r="U85"/>
  <c r="AF85"/>
  <c r="AU85"/>
  <c r="U86"/>
  <c r="AF86"/>
  <c r="AU86"/>
  <c r="U87"/>
  <c r="AF87"/>
  <c r="AU87"/>
  <c r="U88"/>
  <c r="AF88"/>
  <c r="AU88"/>
  <c r="U89"/>
  <c r="AF89"/>
  <c r="AU89"/>
  <c r="U90"/>
  <c r="AF90"/>
  <c r="AU90"/>
  <c r="U91"/>
  <c r="AF91"/>
  <c r="AU91"/>
  <c r="U92"/>
  <c r="AF92"/>
  <c r="AU92"/>
  <c r="U93"/>
  <c r="AF93"/>
  <c r="AU93"/>
  <c r="U94"/>
  <c r="AF94"/>
  <c r="AU94"/>
  <c r="U95"/>
  <c r="AF95"/>
  <c r="AU95"/>
  <c r="U96"/>
  <c r="AF96"/>
  <c r="AU96"/>
  <c r="U97"/>
  <c r="AF97"/>
  <c r="AU97"/>
  <c r="U98"/>
  <c r="AF98"/>
  <c r="AU98"/>
  <c r="U99"/>
  <c r="AF99"/>
  <c r="AU99"/>
  <c r="U100"/>
  <c r="AF100"/>
  <c r="AU100"/>
  <c r="U101"/>
  <c r="AF101"/>
  <c r="AU101"/>
  <c r="U102"/>
  <c r="AF102"/>
  <c r="AU102"/>
  <c r="U103"/>
  <c r="AF103"/>
  <c r="AU103"/>
  <c r="U104"/>
  <c r="AF104"/>
  <c r="AU104"/>
  <c r="U105"/>
  <c r="AF105"/>
  <c r="AU105"/>
  <c r="AF106"/>
  <c r="AF108"/>
  <c r="AF110"/>
  <c r="AF112"/>
  <c r="AF117"/>
  <c r="AF118"/>
  <c r="AF119"/>
  <c r="AF120"/>
  <c r="AF121"/>
  <c r="AF122"/>
  <c r="AF145"/>
  <c r="AF147"/>
  <c r="AF149"/>
  <c r="AF151"/>
  <c r="AF153"/>
  <c r="AF155"/>
  <c r="AF157"/>
  <c r="AF159"/>
  <c r="AF161"/>
  <c r="AF163"/>
  <c r="AF165"/>
  <c r="AF167"/>
  <c r="AX112"/>
  <c r="AT112"/>
  <c r="AX113"/>
  <c r="AT113"/>
  <c r="AX114"/>
  <c r="AT114"/>
  <c r="AX115"/>
  <c r="AT115"/>
  <c r="V124"/>
  <c r="W124"/>
  <c r="X124" s="1"/>
  <c r="X126"/>
  <c r="V126"/>
  <c r="W126"/>
  <c r="V128"/>
  <c r="W128" s="1"/>
  <c r="X128" s="1"/>
  <c r="V130"/>
  <c r="W130"/>
  <c r="X130" s="1"/>
  <c r="V132"/>
  <c r="W132"/>
  <c r="X132" s="1"/>
  <c r="X134"/>
  <c r="V134"/>
  <c r="W134"/>
  <c r="V136"/>
  <c r="W136" s="1"/>
  <c r="X136" s="1"/>
  <c r="V138"/>
  <c r="W138"/>
  <c r="X138" s="1"/>
  <c r="V140"/>
  <c r="W140"/>
  <c r="X140" s="1"/>
  <c r="X142"/>
  <c r="V142"/>
  <c r="W142"/>
  <c r="V144"/>
  <c r="W144" s="1"/>
  <c r="X144" s="1"/>
  <c r="V146"/>
  <c r="W146"/>
  <c r="X146" s="1"/>
  <c r="V148"/>
  <c r="W148"/>
  <c r="X148" s="1"/>
  <c r="X150"/>
  <c r="V150"/>
  <c r="W150"/>
  <c r="X152"/>
  <c r="V152"/>
  <c r="W152"/>
  <c r="V154"/>
  <c r="W154"/>
  <c r="X154" s="1"/>
  <c r="V156"/>
  <c r="W156"/>
  <c r="X156" s="1"/>
  <c r="X158"/>
  <c r="V158"/>
  <c r="W158"/>
  <c r="V160"/>
  <c r="W160" s="1"/>
  <c r="X160" s="1"/>
  <c r="V162"/>
  <c r="W162"/>
  <c r="X162" s="1"/>
  <c r="V164"/>
  <c r="W164" s="1"/>
  <c r="X164" s="1"/>
  <c r="X166"/>
  <c r="V166"/>
  <c r="W166"/>
  <c r="AE4"/>
  <c r="AT4"/>
  <c r="AY4" s="1"/>
  <c r="AX4"/>
  <c r="BA4" s="1"/>
  <c r="BB4" s="1"/>
  <c r="BD4" s="1"/>
  <c r="AE5"/>
  <c r="AT5"/>
  <c r="AY5" s="1"/>
  <c r="AX5"/>
  <c r="AE6"/>
  <c r="AT6"/>
  <c r="AY6" s="1"/>
  <c r="AX6"/>
  <c r="BA6" s="1"/>
  <c r="BB6" s="1"/>
  <c r="BD6" s="1"/>
  <c r="AE7"/>
  <c r="AT7"/>
  <c r="AY7" s="1"/>
  <c r="AX7"/>
  <c r="AE8"/>
  <c r="AT8"/>
  <c r="AY8" s="1"/>
  <c r="AX8"/>
  <c r="AE9"/>
  <c r="AT9"/>
  <c r="AY9" s="1"/>
  <c r="AX9"/>
  <c r="AE10"/>
  <c r="AT10"/>
  <c r="AY10" s="1"/>
  <c r="AX10"/>
  <c r="AE11"/>
  <c r="AT11"/>
  <c r="AY11" s="1"/>
  <c r="AX11"/>
  <c r="AE12"/>
  <c r="AT12"/>
  <c r="AY12" s="1"/>
  <c r="AX12"/>
  <c r="AE13"/>
  <c r="AT13"/>
  <c r="AY13" s="1"/>
  <c r="AX13"/>
  <c r="AE14"/>
  <c r="AT14"/>
  <c r="AY14" s="1"/>
  <c r="AX14"/>
  <c r="AE15"/>
  <c r="AT15"/>
  <c r="AY15" s="1"/>
  <c r="AX15"/>
  <c r="AE16"/>
  <c r="AT16"/>
  <c r="AY16" s="1"/>
  <c r="AX16"/>
  <c r="AE17"/>
  <c r="AT17"/>
  <c r="AY17" s="1"/>
  <c r="AX17"/>
  <c r="AE18"/>
  <c r="AT18"/>
  <c r="AY18" s="1"/>
  <c r="AX18"/>
  <c r="AE19"/>
  <c r="AT19"/>
  <c r="AY19" s="1"/>
  <c r="AX19"/>
  <c r="AE20"/>
  <c r="AT20"/>
  <c r="AY20" s="1"/>
  <c r="AX20"/>
  <c r="AE21"/>
  <c r="AT21"/>
  <c r="AY21" s="1"/>
  <c r="AX21"/>
  <c r="AE22"/>
  <c r="AT22"/>
  <c r="AY22" s="1"/>
  <c r="AX22"/>
  <c r="AE23"/>
  <c r="AT23"/>
  <c r="AY23" s="1"/>
  <c r="AX23"/>
  <c r="AE24"/>
  <c r="AT24"/>
  <c r="AY24" s="1"/>
  <c r="AX24"/>
  <c r="AE25"/>
  <c r="AT25"/>
  <c r="AY25" s="1"/>
  <c r="AX25"/>
  <c r="AE26"/>
  <c r="AT26"/>
  <c r="AY26" s="1"/>
  <c r="AX26"/>
  <c r="AE27"/>
  <c r="AT27"/>
  <c r="AY27" s="1"/>
  <c r="AX27"/>
  <c r="AE28"/>
  <c r="AT28"/>
  <c r="AY28" s="1"/>
  <c r="AX28"/>
  <c r="AE29"/>
  <c r="AT29"/>
  <c r="AY29" s="1"/>
  <c r="AX29"/>
  <c r="AE30"/>
  <c r="AT30"/>
  <c r="AY30" s="1"/>
  <c r="AX30"/>
  <c r="AE31"/>
  <c r="AT31"/>
  <c r="AY31" s="1"/>
  <c r="AX31"/>
  <c r="AE32"/>
  <c r="AT32"/>
  <c r="AY32" s="1"/>
  <c r="AX32"/>
  <c r="AE33"/>
  <c r="AT33"/>
  <c r="AY33" s="1"/>
  <c r="AX33"/>
  <c r="AE34"/>
  <c r="AT34"/>
  <c r="AY34" s="1"/>
  <c r="AX34"/>
  <c r="AE35"/>
  <c r="AT35"/>
  <c r="AY35" s="1"/>
  <c r="AX35"/>
  <c r="AE36"/>
  <c r="AT36"/>
  <c r="AY36" s="1"/>
  <c r="AX36"/>
  <c r="AE37"/>
  <c r="AT37"/>
  <c r="AY37" s="1"/>
  <c r="AX37"/>
  <c r="AE38"/>
  <c r="AT38"/>
  <c r="AY38" s="1"/>
  <c r="AX38"/>
  <c r="AE39"/>
  <c r="AT39"/>
  <c r="AY39" s="1"/>
  <c r="AX39"/>
  <c r="AE40"/>
  <c r="AT40"/>
  <c r="AY40" s="1"/>
  <c r="AX40"/>
  <c r="AE41"/>
  <c r="AT41"/>
  <c r="AY41" s="1"/>
  <c r="AX41"/>
  <c r="AE42"/>
  <c r="AT42"/>
  <c r="AY42" s="1"/>
  <c r="AX42"/>
  <c r="AE43"/>
  <c r="AT43"/>
  <c r="AY43" s="1"/>
  <c r="AX43"/>
  <c r="AE44"/>
  <c r="AT44"/>
  <c r="AY44" s="1"/>
  <c r="AX44"/>
  <c r="AE45"/>
  <c r="AT45"/>
  <c r="AY45" s="1"/>
  <c r="AX45"/>
  <c r="AE46"/>
  <c r="AT46"/>
  <c r="AY46" s="1"/>
  <c r="AX46"/>
  <c r="AE47"/>
  <c r="AT47"/>
  <c r="AY47" s="1"/>
  <c r="AX47"/>
  <c r="AE48"/>
  <c r="AT48"/>
  <c r="AY48" s="1"/>
  <c r="AX48"/>
  <c r="AE49"/>
  <c r="AT49"/>
  <c r="AY49" s="1"/>
  <c r="AX49"/>
  <c r="AE50"/>
  <c r="AT50"/>
  <c r="AY50" s="1"/>
  <c r="AX50"/>
  <c r="AE51"/>
  <c r="AT51"/>
  <c r="AY51" s="1"/>
  <c r="AX51"/>
  <c r="AE52"/>
  <c r="AT52"/>
  <c r="AY52" s="1"/>
  <c r="AX52"/>
  <c r="AE53"/>
  <c r="AT53"/>
  <c r="AY53" s="1"/>
  <c r="AX53"/>
  <c r="AE54"/>
  <c r="AT54"/>
  <c r="AY54" s="1"/>
  <c r="AX54"/>
  <c r="AE55"/>
  <c r="AT55"/>
  <c r="AY55" s="1"/>
  <c r="AX55"/>
  <c r="AE56"/>
  <c r="AT56"/>
  <c r="AY56" s="1"/>
  <c r="AX56"/>
  <c r="AE57"/>
  <c r="AT57"/>
  <c r="AY57" s="1"/>
  <c r="AX57"/>
  <c r="AE58"/>
  <c r="AT58"/>
  <c r="AY58" s="1"/>
  <c r="AX58"/>
  <c r="AE59"/>
  <c r="AT59"/>
  <c r="AY59" s="1"/>
  <c r="AX59"/>
  <c r="AE60"/>
  <c r="AT60"/>
  <c r="AY60" s="1"/>
  <c r="AX60"/>
  <c r="AE61"/>
  <c r="AT61"/>
  <c r="AY61" s="1"/>
  <c r="AX61"/>
  <c r="AE62"/>
  <c r="AT62"/>
  <c r="AY62" s="1"/>
  <c r="AX62"/>
  <c r="BA62" s="1"/>
  <c r="BB62" s="1"/>
  <c r="BD62" s="1"/>
  <c r="AE63"/>
  <c r="AT63"/>
  <c r="AY63" s="1"/>
  <c r="AX63"/>
  <c r="BA63" s="1"/>
  <c r="BB63" s="1"/>
  <c r="AE64"/>
  <c r="AT64"/>
  <c r="AY64" s="1"/>
  <c r="AX64"/>
  <c r="AE65"/>
  <c r="AT65"/>
  <c r="AY65" s="1"/>
  <c r="AX65"/>
  <c r="AE66"/>
  <c r="AT66"/>
  <c r="AY66" s="1"/>
  <c r="AX66"/>
  <c r="AE67"/>
  <c r="AT67"/>
  <c r="AY67" s="1"/>
  <c r="AX67"/>
  <c r="BA67" s="1"/>
  <c r="BB67" s="1"/>
  <c r="BD67" s="1"/>
  <c r="AE68"/>
  <c r="AT68"/>
  <c r="AY68" s="1"/>
  <c r="AX68"/>
  <c r="AE69"/>
  <c r="AT69"/>
  <c r="AY69" s="1"/>
  <c r="AX69"/>
  <c r="AE70"/>
  <c r="AT70"/>
  <c r="AY70" s="1"/>
  <c r="AX70"/>
  <c r="BA70" s="1"/>
  <c r="BB70" s="1"/>
  <c r="BD70" s="1"/>
  <c r="AE71"/>
  <c r="AT71"/>
  <c r="AY71" s="1"/>
  <c r="AX71"/>
  <c r="BA71" s="1"/>
  <c r="BB71" s="1"/>
  <c r="BD71" s="1"/>
  <c r="AE72"/>
  <c r="AT72"/>
  <c r="AY72" s="1"/>
  <c r="AX72"/>
  <c r="AE73"/>
  <c r="AT73"/>
  <c r="AY73" s="1"/>
  <c r="AX73"/>
  <c r="AE74"/>
  <c r="AT74"/>
  <c r="AY74" s="1"/>
  <c r="AX74"/>
  <c r="AE75"/>
  <c r="AT75"/>
  <c r="AY75" s="1"/>
  <c r="AX75"/>
  <c r="AE76"/>
  <c r="AT76"/>
  <c r="AY76" s="1"/>
  <c r="AX76"/>
  <c r="AE77"/>
  <c r="AT77"/>
  <c r="AY77" s="1"/>
  <c r="AX77"/>
  <c r="AE78"/>
  <c r="AT78"/>
  <c r="AY78" s="1"/>
  <c r="AX78"/>
  <c r="AE79"/>
  <c r="AT79"/>
  <c r="AY79" s="1"/>
  <c r="AX79"/>
  <c r="AE80"/>
  <c r="AT80"/>
  <c r="AY80" s="1"/>
  <c r="AX80"/>
  <c r="AE81"/>
  <c r="AT81"/>
  <c r="AY81" s="1"/>
  <c r="AX81"/>
  <c r="AE82"/>
  <c r="AT82"/>
  <c r="AY82" s="1"/>
  <c r="AX82"/>
  <c r="AE83"/>
  <c r="AT83"/>
  <c r="AY83" s="1"/>
  <c r="AX83"/>
  <c r="AE84"/>
  <c r="AT84"/>
  <c r="AY84" s="1"/>
  <c r="AX84"/>
  <c r="AE85"/>
  <c r="AT85"/>
  <c r="AY85" s="1"/>
  <c r="AX85"/>
  <c r="AE86"/>
  <c r="AT86"/>
  <c r="AY86" s="1"/>
  <c r="AX86"/>
  <c r="BA86" s="1"/>
  <c r="BB86" s="1"/>
  <c r="BD86" s="1"/>
  <c r="AE87"/>
  <c r="AT87"/>
  <c r="AY87" s="1"/>
  <c r="AX87"/>
  <c r="AE88"/>
  <c r="AT88"/>
  <c r="AY88" s="1"/>
  <c r="AX88"/>
  <c r="BA88" s="1"/>
  <c r="BB88" s="1"/>
  <c r="BD88" s="1"/>
  <c r="AE89"/>
  <c r="AT89"/>
  <c r="AY89" s="1"/>
  <c r="AX89"/>
  <c r="AE90"/>
  <c r="AT90"/>
  <c r="AY90" s="1"/>
  <c r="AX90"/>
  <c r="AE91"/>
  <c r="AT91"/>
  <c r="AY91" s="1"/>
  <c r="AX91"/>
  <c r="AE92"/>
  <c r="AT92"/>
  <c r="AY92" s="1"/>
  <c r="AX92"/>
  <c r="AE93"/>
  <c r="AT93"/>
  <c r="AY93" s="1"/>
  <c r="AX93"/>
  <c r="AE94"/>
  <c r="AT94"/>
  <c r="AY94" s="1"/>
  <c r="AX94"/>
  <c r="AE95"/>
  <c r="AT95"/>
  <c r="AY95" s="1"/>
  <c r="AX95"/>
  <c r="AE96"/>
  <c r="AT96"/>
  <c r="AY96" s="1"/>
  <c r="AX96"/>
  <c r="AE97"/>
  <c r="AT97"/>
  <c r="AY97" s="1"/>
  <c r="AX97"/>
  <c r="AE98"/>
  <c r="AT98"/>
  <c r="AY98" s="1"/>
  <c r="AX98"/>
  <c r="AE99"/>
  <c r="AT99"/>
  <c r="AY99" s="1"/>
  <c r="AX99"/>
  <c r="AE100"/>
  <c r="AT100"/>
  <c r="AY100" s="1"/>
  <c r="AX100"/>
  <c r="AE101"/>
  <c r="AT101"/>
  <c r="AY101" s="1"/>
  <c r="AX101"/>
  <c r="AE102"/>
  <c r="AT102"/>
  <c r="AY102" s="1"/>
  <c r="AX102"/>
  <c r="AE103"/>
  <c r="AT103"/>
  <c r="AY103" s="1"/>
  <c r="AX103"/>
  <c r="AE104"/>
  <c r="AT104"/>
  <c r="AY104" s="1"/>
  <c r="AX104"/>
  <c r="AE105"/>
  <c r="AT105"/>
  <c r="AY105" s="1"/>
  <c r="AE106"/>
  <c r="AV106"/>
  <c r="AG107"/>
  <c r="AE108"/>
  <c r="AV108"/>
  <c r="AG109"/>
  <c r="AE110"/>
  <c r="AV110"/>
  <c r="AG111"/>
  <c r="AE112"/>
  <c r="AE113"/>
  <c r="AE114"/>
  <c r="AE115"/>
  <c r="AW116"/>
  <c r="AE116"/>
  <c r="AX116"/>
  <c r="AT116"/>
  <c r="AX117"/>
  <c r="AT117"/>
  <c r="AX118"/>
  <c r="AT118"/>
  <c r="AX119"/>
  <c r="AT119"/>
  <c r="AX120"/>
  <c r="AT120"/>
  <c r="AX121"/>
  <c r="AT121"/>
  <c r="AX122"/>
  <c r="AT122"/>
  <c r="AV122"/>
  <c r="AE123"/>
  <c r="AG123"/>
  <c r="AE125"/>
  <c r="AG125"/>
  <c r="AE127"/>
  <c r="AG127"/>
  <c r="AE129"/>
  <c r="AG129"/>
  <c r="AE131"/>
  <c r="AG131"/>
  <c r="AE133"/>
  <c r="AG133"/>
  <c r="AE135"/>
  <c r="AG135"/>
  <c r="AE137"/>
  <c r="AG137"/>
  <c r="AE139"/>
  <c r="AG139"/>
  <c r="AE141"/>
  <c r="AG141"/>
  <c r="AE143"/>
  <c r="AG143"/>
  <c r="V168"/>
  <c r="W168" s="1"/>
  <c r="X168" s="1"/>
  <c r="V170"/>
  <c r="W170"/>
  <c r="X170" s="1"/>
  <c r="V172"/>
  <c r="W172" s="1"/>
  <c r="X172" s="1"/>
  <c r="X174"/>
  <c r="V174"/>
  <c r="W174"/>
  <c r="V176"/>
  <c r="W176" s="1"/>
  <c r="X176" s="1"/>
  <c r="V178"/>
  <c r="W178"/>
  <c r="X178" s="1"/>
  <c r="AD4"/>
  <c r="AH4"/>
  <c r="AW4"/>
  <c r="AD5"/>
  <c r="AH5"/>
  <c r="AW5"/>
  <c r="AD6"/>
  <c r="AH6"/>
  <c r="AW6"/>
  <c r="AD7"/>
  <c r="AH7"/>
  <c r="AW7"/>
  <c r="AD8"/>
  <c r="AH8"/>
  <c r="AW8"/>
  <c r="AD9"/>
  <c r="AH9"/>
  <c r="AW9"/>
  <c r="AD10"/>
  <c r="AH10"/>
  <c r="AW10"/>
  <c r="AD11"/>
  <c r="AH11"/>
  <c r="AW11"/>
  <c r="AD12"/>
  <c r="AH12"/>
  <c r="AW12"/>
  <c r="AD13"/>
  <c r="AH13"/>
  <c r="AW13"/>
  <c r="AD14"/>
  <c r="AH14"/>
  <c r="AW14"/>
  <c r="AD15"/>
  <c r="AH15"/>
  <c r="AW15"/>
  <c r="AD16"/>
  <c r="AH16"/>
  <c r="AW16"/>
  <c r="AD17"/>
  <c r="AH17"/>
  <c r="AW17"/>
  <c r="AD18"/>
  <c r="AH18"/>
  <c r="AW18"/>
  <c r="AD19"/>
  <c r="AH19"/>
  <c r="AW19"/>
  <c r="AD20"/>
  <c r="AH20"/>
  <c r="AW20"/>
  <c r="AD21"/>
  <c r="AH21"/>
  <c r="AW21"/>
  <c r="AD22"/>
  <c r="AH22"/>
  <c r="AW22"/>
  <c r="AD23"/>
  <c r="AH23"/>
  <c r="AW23"/>
  <c r="AD24"/>
  <c r="AH24"/>
  <c r="AW24"/>
  <c r="AD25"/>
  <c r="AH25"/>
  <c r="AW25"/>
  <c r="AD26"/>
  <c r="AH26"/>
  <c r="AW26"/>
  <c r="AD27"/>
  <c r="AH27"/>
  <c r="AW27"/>
  <c r="AD28"/>
  <c r="AH28"/>
  <c r="AW28"/>
  <c r="AD29"/>
  <c r="AH29"/>
  <c r="AW29"/>
  <c r="AD30"/>
  <c r="AH30"/>
  <c r="AW30"/>
  <c r="AD31"/>
  <c r="AH31"/>
  <c r="AW31"/>
  <c r="AD32"/>
  <c r="AH32"/>
  <c r="AW32"/>
  <c r="AD33"/>
  <c r="AH33"/>
  <c r="AW33"/>
  <c r="AD34"/>
  <c r="AH34"/>
  <c r="AW34"/>
  <c r="AD35"/>
  <c r="AH35"/>
  <c r="AW35"/>
  <c r="AD36"/>
  <c r="AH36"/>
  <c r="AW36"/>
  <c r="AD37"/>
  <c r="AH37"/>
  <c r="AW37"/>
  <c r="AD38"/>
  <c r="AH38"/>
  <c r="AW38"/>
  <c r="AD39"/>
  <c r="AH39"/>
  <c r="AW39"/>
  <c r="AD40"/>
  <c r="AH40"/>
  <c r="AW40"/>
  <c r="AD41"/>
  <c r="AH41"/>
  <c r="AW41"/>
  <c r="AD42"/>
  <c r="AH42"/>
  <c r="AW42"/>
  <c r="AD43"/>
  <c r="AH43"/>
  <c r="AW43"/>
  <c r="AD44"/>
  <c r="AH44"/>
  <c r="AW44"/>
  <c r="AD45"/>
  <c r="AH45"/>
  <c r="AW45"/>
  <c r="AD46"/>
  <c r="AH46"/>
  <c r="AW46"/>
  <c r="AD47"/>
  <c r="AH47"/>
  <c r="AW47"/>
  <c r="AD48"/>
  <c r="AH48"/>
  <c r="AW48"/>
  <c r="AD49"/>
  <c r="AH49"/>
  <c r="AW49"/>
  <c r="AD50"/>
  <c r="AH50"/>
  <c r="AW50"/>
  <c r="AD51"/>
  <c r="AH51"/>
  <c r="AW51"/>
  <c r="AD52"/>
  <c r="AH52"/>
  <c r="AW52"/>
  <c r="AD53"/>
  <c r="AH53"/>
  <c r="AW53"/>
  <c r="AD54"/>
  <c r="AH54"/>
  <c r="AW54"/>
  <c r="AD55"/>
  <c r="AH55"/>
  <c r="AW55"/>
  <c r="AD56"/>
  <c r="AH56"/>
  <c r="AW56"/>
  <c r="AD57"/>
  <c r="AH57"/>
  <c r="AW57"/>
  <c r="AD58"/>
  <c r="AH58"/>
  <c r="AW58"/>
  <c r="AD59"/>
  <c r="AH59"/>
  <c r="AW59"/>
  <c r="AD60"/>
  <c r="AH60"/>
  <c r="AW60"/>
  <c r="AD61"/>
  <c r="AH61"/>
  <c r="AW61"/>
  <c r="AD62"/>
  <c r="AH62"/>
  <c r="AW62"/>
  <c r="AD63"/>
  <c r="AH63"/>
  <c r="AW63"/>
  <c r="AD64"/>
  <c r="AH64"/>
  <c r="AW64"/>
  <c r="AD65"/>
  <c r="AH65"/>
  <c r="AW65"/>
  <c r="AD66"/>
  <c r="AI66" s="1"/>
  <c r="AH66"/>
  <c r="AW66"/>
  <c r="AD67"/>
  <c r="AI67" s="1"/>
  <c r="AH67"/>
  <c r="AW67"/>
  <c r="AD68"/>
  <c r="AI68" s="1"/>
  <c r="AH68"/>
  <c r="AW68"/>
  <c r="AD69"/>
  <c r="AI69" s="1"/>
  <c r="AH69"/>
  <c r="AW69"/>
  <c r="AD70"/>
  <c r="AI70" s="1"/>
  <c r="AH70"/>
  <c r="AW70"/>
  <c r="AD71"/>
  <c r="AI71" s="1"/>
  <c r="AH71"/>
  <c r="AW71"/>
  <c r="AD72"/>
  <c r="AI72" s="1"/>
  <c r="AH72"/>
  <c r="AW72"/>
  <c r="AD73"/>
  <c r="AI73" s="1"/>
  <c r="AH73"/>
  <c r="AW73"/>
  <c r="AD74"/>
  <c r="AI74" s="1"/>
  <c r="AH74"/>
  <c r="AW74"/>
  <c r="AD75"/>
  <c r="AI75" s="1"/>
  <c r="AH75"/>
  <c r="AW75"/>
  <c r="AD76"/>
  <c r="AI76" s="1"/>
  <c r="AH76"/>
  <c r="AW76"/>
  <c r="AD77"/>
  <c r="AI77" s="1"/>
  <c r="AH77"/>
  <c r="AW77"/>
  <c r="AD78"/>
  <c r="AI78" s="1"/>
  <c r="AH78"/>
  <c r="AW78"/>
  <c r="AD79"/>
  <c r="AI79" s="1"/>
  <c r="AH79"/>
  <c r="AW79"/>
  <c r="AD80"/>
  <c r="AI80" s="1"/>
  <c r="AH80"/>
  <c r="AW80"/>
  <c r="AD81"/>
  <c r="AI81" s="1"/>
  <c r="AH81"/>
  <c r="AW81"/>
  <c r="AD82"/>
  <c r="AI82" s="1"/>
  <c r="AH82"/>
  <c r="AW82"/>
  <c r="AD83"/>
  <c r="AI83" s="1"/>
  <c r="AH83"/>
  <c r="AW83"/>
  <c r="AD84"/>
  <c r="AI84" s="1"/>
  <c r="AH84"/>
  <c r="AW84"/>
  <c r="AD85"/>
  <c r="AI85" s="1"/>
  <c r="AH85"/>
  <c r="AW85"/>
  <c r="AD86"/>
  <c r="AI86" s="1"/>
  <c r="AH86"/>
  <c r="AW86"/>
  <c r="AD87"/>
  <c r="AI87" s="1"/>
  <c r="AH87"/>
  <c r="AW87"/>
  <c r="AD88"/>
  <c r="AI88" s="1"/>
  <c r="AH88"/>
  <c r="AW88"/>
  <c r="AD89"/>
  <c r="AI89" s="1"/>
  <c r="AH89"/>
  <c r="AW89"/>
  <c r="AD90"/>
  <c r="AI90" s="1"/>
  <c r="AH90"/>
  <c r="AW90"/>
  <c r="AD91"/>
  <c r="AI91" s="1"/>
  <c r="AH91"/>
  <c r="AW91"/>
  <c r="AD92"/>
  <c r="AI92" s="1"/>
  <c r="AH92"/>
  <c r="AW92"/>
  <c r="AD93"/>
  <c r="AI93" s="1"/>
  <c r="AH93"/>
  <c r="AW93"/>
  <c r="AD94"/>
  <c r="AI94" s="1"/>
  <c r="AH94"/>
  <c r="AW94"/>
  <c r="AD95"/>
  <c r="AI95" s="1"/>
  <c r="AH95"/>
  <c r="AW95"/>
  <c r="AD96"/>
  <c r="AI96" s="1"/>
  <c r="AH96"/>
  <c r="AW96"/>
  <c r="AD97"/>
  <c r="AI97" s="1"/>
  <c r="AH97"/>
  <c r="AW97"/>
  <c r="AD98"/>
  <c r="AI98" s="1"/>
  <c r="AH98"/>
  <c r="AW98"/>
  <c r="AD99"/>
  <c r="AI99" s="1"/>
  <c r="AH99"/>
  <c r="AW99"/>
  <c r="AD100"/>
  <c r="AI100" s="1"/>
  <c r="AH100"/>
  <c r="AW100"/>
  <c r="AD101"/>
  <c r="AI101" s="1"/>
  <c r="AH101"/>
  <c r="AW101"/>
  <c r="AD102"/>
  <c r="AI102" s="1"/>
  <c r="AH102"/>
  <c r="AW102"/>
  <c r="AD103"/>
  <c r="AI103" s="1"/>
  <c r="AH103"/>
  <c r="AW103"/>
  <c r="AD104"/>
  <c r="AI104" s="1"/>
  <c r="AH104"/>
  <c r="AW104"/>
  <c r="AD105"/>
  <c r="AI105" s="1"/>
  <c r="AH105"/>
  <c r="AX105"/>
  <c r="W106"/>
  <c r="X106" s="1"/>
  <c r="W108"/>
  <c r="X108" s="1"/>
  <c r="W110"/>
  <c r="X110" s="1"/>
  <c r="W112"/>
  <c r="X112" s="1"/>
  <c r="AY118"/>
  <c r="W113"/>
  <c r="X113" s="1"/>
  <c r="W114"/>
  <c r="X114" s="1"/>
  <c r="W115"/>
  <c r="X115" s="1"/>
  <c r="W116"/>
  <c r="X116" s="1"/>
  <c r="V123"/>
  <c r="W123" s="1"/>
  <c r="X123" s="1"/>
  <c r="V125"/>
  <c r="W125"/>
  <c r="X125" s="1"/>
  <c r="V127"/>
  <c r="W127" s="1"/>
  <c r="X127" s="1"/>
  <c r="X129"/>
  <c r="V129"/>
  <c r="W129"/>
  <c r="V131"/>
  <c r="W131" s="1"/>
  <c r="X131" s="1"/>
  <c r="V133"/>
  <c r="W133"/>
  <c r="X133" s="1"/>
  <c r="V135"/>
  <c r="W135" s="1"/>
  <c r="X135" s="1"/>
  <c r="X137"/>
  <c r="V137"/>
  <c r="W137"/>
  <c r="V139"/>
  <c r="W139" s="1"/>
  <c r="X139" s="1"/>
  <c r="V141"/>
  <c r="W141"/>
  <c r="X141" s="1"/>
  <c r="V143"/>
  <c r="W143" s="1"/>
  <c r="X143" s="1"/>
  <c r="X145"/>
  <c r="V145"/>
  <c r="W145"/>
  <c r="V147"/>
  <c r="W147" s="1"/>
  <c r="X147" s="1"/>
  <c r="V149"/>
  <c r="W149"/>
  <c r="X149" s="1"/>
  <c r="V151"/>
  <c r="W151" s="1"/>
  <c r="X151" s="1"/>
  <c r="X153"/>
  <c r="V153"/>
  <c r="W153"/>
  <c r="V155"/>
  <c r="W155" s="1"/>
  <c r="X155" s="1"/>
  <c r="V157"/>
  <c r="W157"/>
  <c r="X157" s="1"/>
  <c r="V159"/>
  <c r="W159" s="1"/>
  <c r="X159" s="1"/>
  <c r="X161"/>
  <c r="V161"/>
  <c r="W161"/>
  <c r="V163"/>
  <c r="W163" s="1"/>
  <c r="X163" s="1"/>
  <c r="V165"/>
  <c r="W165"/>
  <c r="X165" s="1"/>
  <c r="V167"/>
  <c r="W167" s="1"/>
  <c r="X167" s="1"/>
  <c r="AE10" i="3"/>
  <c r="AT10"/>
  <c r="AY10" s="1"/>
  <c r="AE11"/>
  <c r="AT11"/>
  <c r="AY11" s="1"/>
  <c r="AE12"/>
  <c r="AT12"/>
  <c r="AY12" s="1"/>
  <c r="AE13"/>
  <c r="AI13" s="1"/>
  <c r="AT13"/>
  <c r="AY13" s="1"/>
  <c r="AE14"/>
  <c r="AT14"/>
  <c r="AY14" s="1"/>
  <c r="AE15"/>
  <c r="AT15"/>
  <c r="AY15" s="1"/>
  <c r="AE16"/>
  <c r="AT16"/>
  <c r="AY16" s="1"/>
  <c r="AE17"/>
  <c r="AT17"/>
  <c r="AY17" s="1"/>
  <c r="AE18"/>
  <c r="AT18"/>
  <c r="AY18" s="1"/>
  <c r="AE19"/>
  <c r="AT19"/>
  <c r="AY19" s="1"/>
  <c r="AE20"/>
  <c r="AT20"/>
  <c r="AY20" s="1"/>
  <c r="AE21"/>
  <c r="AT21"/>
  <c r="AY21" s="1"/>
  <c r="AE22"/>
  <c r="AT22"/>
  <c r="AY22" s="1"/>
  <c r="AE23"/>
  <c r="AT23"/>
  <c r="AY23" s="1"/>
  <c r="AE24"/>
  <c r="AT24"/>
  <c r="AY24" s="1"/>
  <c r="AE25"/>
  <c r="AT25"/>
  <c r="AY25" s="1"/>
  <c r="AE26"/>
  <c r="AT26"/>
  <c r="AY26" s="1"/>
  <c r="AE27"/>
  <c r="AT27"/>
  <c r="AY27" s="1"/>
  <c r="AE28"/>
  <c r="AT28"/>
  <c r="AY28" s="1"/>
  <c r="AE29"/>
  <c r="AT29"/>
  <c r="AY29" s="1"/>
  <c r="AE30"/>
  <c r="AT30"/>
  <c r="AY30" s="1"/>
  <c r="AG4" i="6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V105"/>
  <c r="AT106"/>
  <c r="AY106" s="1"/>
  <c r="V107"/>
  <c r="W107" s="1"/>
  <c r="X107" s="1"/>
  <c r="AT108"/>
  <c r="AY108" s="1"/>
  <c r="V109"/>
  <c r="W109" s="1"/>
  <c r="X109" s="1"/>
  <c r="AT110"/>
  <c r="AY110" s="1"/>
  <c r="V111"/>
  <c r="W111" s="1"/>
  <c r="X111" s="1"/>
  <c r="AU112"/>
  <c r="AY112" s="1"/>
  <c r="AF113"/>
  <c r="AU113"/>
  <c r="AY113" s="1"/>
  <c r="AF114"/>
  <c r="AU114"/>
  <c r="AY114" s="1"/>
  <c r="AF115"/>
  <c r="AU115"/>
  <c r="AY115" s="1"/>
  <c r="AF116"/>
  <c r="AV116"/>
  <c r="AY116" s="1"/>
  <c r="V117"/>
  <c r="W117" s="1"/>
  <c r="X117" s="1"/>
  <c r="AG117"/>
  <c r="AV117"/>
  <c r="AY117" s="1"/>
  <c r="V118"/>
  <c r="W118" s="1"/>
  <c r="X118" s="1"/>
  <c r="AG118"/>
  <c r="AV118"/>
  <c r="V119"/>
  <c r="W119" s="1"/>
  <c r="X119" s="1"/>
  <c r="AG119"/>
  <c r="AV119"/>
  <c r="AY119" s="1"/>
  <c r="V120"/>
  <c r="W120" s="1"/>
  <c r="X120" s="1"/>
  <c r="AG120"/>
  <c r="AV120"/>
  <c r="AY120" s="1"/>
  <c r="V121"/>
  <c r="W121" s="1"/>
  <c r="X121" s="1"/>
  <c r="AG121"/>
  <c r="AV121"/>
  <c r="AY121" s="1"/>
  <c r="V122"/>
  <c r="W122" s="1"/>
  <c r="X122" s="1"/>
  <c r="AG122"/>
  <c r="AY122"/>
  <c r="AF168"/>
  <c r="AF170"/>
  <c r="AF172"/>
  <c r="AF174"/>
  <c r="AF176"/>
  <c r="AF178"/>
  <c r="AX269"/>
  <c r="AT269"/>
  <c r="AX271"/>
  <c r="AT271"/>
  <c r="AX273"/>
  <c r="AT273"/>
  <c r="AX276"/>
  <c r="AT276"/>
  <c r="AX278"/>
  <c r="AT278"/>
  <c r="AX280"/>
  <c r="AT280"/>
  <c r="AX282"/>
  <c r="AT282"/>
  <c r="AX284"/>
  <c r="AT284"/>
  <c r="AX286"/>
  <c r="AT286"/>
  <c r="AG288"/>
  <c r="AD106"/>
  <c r="AI106" s="1"/>
  <c r="AH106"/>
  <c r="AD107"/>
  <c r="AI107" s="1"/>
  <c r="AH107"/>
  <c r="AD108"/>
  <c r="AI108" s="1"/>
  <c r="AH108"/>
  <c r="AD109"/>
  <c r="AI109" s="1"/>
  <c r="AH109"/>
  <c r="AD110"/>
  <c r="AI110" s="1"/>
  <c r="AH110"/>
  <c r="AD111"/>
  <c r="AI111" s="1"/>
  <c r="AH111"/>
  <c r="AD112"/>
  <c r="AI112" s="1"/>
  <c r="AH112"/>
  <c r="AD113"/>
  <c r="AI113" s="1"/>
  <c r="AH113"/>
  <c r="AD114"/>
  <c r="AI114" s="1"/>
  <c r="AH114"/>
  <c r="AD115"/>
  <c r="AI115" s="1"/>
  <c r="AH115"/>
  <c r="AD116"/>
  <c r="AI116" s="1"/>
  <c r="AH116"/>
  <c r="AD117"/>
  <c r="AI117" s="1"/>
  <c r="AH117"/>
  <c r="AD118"/>
  <c r="AI118" s="1"/>
  <c r="AH118"/>
  <c r="AD119"/>
  <c r="AI119" s="1"/>
  <c r="AH119"/>
  <c r="AD120"/>
  <c r="AI120" s="1"/>
  <c r="AH120"/>
  <c r="AD121"/>
  <c r="AI121" s="1"/>
  <c r="AH121"/>
  <c r="AD122"/>
  <c r="AI122" s="1"/>
  <c r="AH122"/>
  <c r="AD123"/>
  <c r="AI123" s="1"/>
  <c r="AH123"/>
  <c r="AD124"/>
  <c r="AI124" s="1"/>
  <c r="AH124"/>
  <c r="AD125"/>
  <c r="AI125" s="1"/>
  <c r="AH125"/>
  <c r="AD126"/>
  <c r="AI126" s="1"/>
  <c r="AH126"/>
  <c r="AD127"/>
  <c r="AI127" s="1"/>
  <c r="AH127"/>
  <c r="AD128"/>
  <c r="AI128" s="1"/>
  <c r="AH128"/>
  <c r="AD129"/>
  <c r="AI129" s="1"/>
  <c r="AH129"/>
  <c r="AD130"/>
  <c r="AI130" s="1"/>
  <c r="AH130"/>
  <c r="AD131"/>
  <c r="AI131" s="1"/>
  <c r="AH131"/>
  <c r="AD132"/>
  <c r="AI132" s="1"/>
  <c r="AH132"/>
  <c r="AD133"/>
  <c r="AI133" s="1"/>
  <c r="AH133"/>
  <c r="AD134"/>
  <c r="AI134" s="1"/>
  <c r="AH134"/>
  <c r="AD135"/>
  <c r="AI135" s="1"/>
  <c r="AH135"/>
  <c r="AD136"/>
  <c r="AI136" s="1"/>
  <c r="AH136"/>
  <c r="AD137"/>
  <c r="AI137" s="1"/>
  <c r="AH137"/>
  <c r="AD138"/>
  <c r="AI138" s="1"/>
  <c r="AH138"/>
  <c r="AD139"/>
  <c r="AI139" s="1"/>
  <c r="AH139"/>
  <c r="AD140"/>
  <c r="AI140" s="1"/>
  <c r="AH140"/>
  <c r="AD141"/>
  <c r="AI141" s="1"/>
  <c r="AH141"/>
  <c r="AD142"/>
  <c r="AI142" s="1"/>
  <c r="AH142"/>
  <c r="AD143"/>
  <c r="AI143" s="1"/>
  <c r="AH143"/>
  <c r="AD144"/>
  <c r="AI144" s="1"/>
  <c r="AH144"/>
  <c r="AD145"/>
  <c r="AI145" s="1"/>
  <c r="AH145"/>
  <c r="AW145"/>
  <c r="AD146"/>
  <c r="AH146"/>
  <c r="AW146"/>
  <c r="AD147"/>
  <c r="AI147" s="1"/>
  <c r="AH147"/>
  <c r="AW147"/>
  <c r="AD148"/>
  <c r="AH148"/>
  <c r="AW148"/>
  <c r="AD149"/>
  <c r="AI149" s="1"/>
  <c r="AH149"/>
  <c r="AW149"/>
  <c r="AD150"/>
  <c r="AH150"/>
  <c r="AW150"/>
  <c r="AD151"/>
  <c r="AI151" s="1"/>
  <c r="AH151"/>
  <c r="AW151"/>
  <c r="AD152"/>
  <c r="AH152"/>
  <c r="AW152"/>
  <c r="AD153"/>
  <c r="AI153" s="1"/>
  <c r="AH153"/>
  <c r="AW153"/>
  <c r="AD154"/>
  <c r="AH154"/>
  <c r="AW154"/>
  <c r="AD155"/>
  <c r="AI155" s="1"/>
  <c r="AH155"/>
  <c r="AW155"/>
  <c r="AD156"/>
  <c r="AH156"/>
  <c r="AW156"/>
  <c r="AD157"/>
  <c r="AI157" s="1"/>
  <c r="AH157"/>
  <c r="AW157"/>
  <c r="AD158"/>
  <c r="AH158"/>
  <c r="AW158"/>
  <c r="AD159"/>
  <c r="AI159" s="1"/>
  <c r="AH159"/>
  <c r="AW159"/>
  <c r="AD160"/>
  <c r="AH160"/>
  <c r="AW160"/>
  <c r="AD161"/>
  <c r="AI161" s="1"/>
  <c r="AH161"/>
  <c r="AW161"/>
  <c r="AD162"/>
  <c r="AH162"/>
  <c r="AW162"/>
  <c r="AD163"/>
  <c r="AI163" s="1"/>
  <c r="AH163"/>
  <c r="AW163"/>
  <c r="AD164"/>
  <c r="AI164" s="1"/>
  <c r="AH164"/>
  <c r="AW164"/>
  <c r="AD165"/>
  <c r="AI165" s="1"/>
  <c r="AH165"/>
  <c r="AW165"/>
  <c r="AD166"/>
  <c r="AH166"/>
  <c r="AW166"/>
  <c r="AD167"/>
  <c r="AI167" s="1"/>
  <c r="AH167"/>
  <c r="AW167"/>
  <c r="AD168"/>
  <c r="AI168" s="1"/>
  <c r="AH168"/>
  <c r="AW168"/>
  <c r="AD169"/>
  <c r="AI169" s="1"/>
  <c r="AH169"/>
  <c r="AW169"/>
  <c r="AD170"/>
  <c r="AI170" s="1"/>
  <c r="AH170"/>
  <c r="AW170"/>
  <c r="AD171"/>
  <c r="AI171" s="1"/>
  <c r="AH171"/>
  <c r="AW171"/>
  <c r="AD172"/>
  <c r="AI172" s="1"/>
  <c r="AH172"/>
  <c r="AW172"/>
  <c r="AD173"/>
  <c r="AI173" s="1"/>
  <c r="AH173"/>
  <c r="AW173"/>
  <c r="AD174"/>
  <c r="AI174" s="1"/>
  <c r="AH174"/>
  <c r="AW174"/>
  <c r="AD175"/>
  <c r="AI175" s="1"/>
  <c r="AH175"/>
  <c r="AW175"/>
  <c r="AD176"/>
  <c r="AI176" s="1"/>
  <c r="AH176"/>
  <c r="AW176"/>
  <c r="AD177"/>
  <c r="AI177" s="1"/>
  <c r="AH177"/>
  <c r="AW177"/>
  <c r="AD178"/>
  <c r="AI178" s="1"/>
  <c r="AH178"/>
  <c r="AW178"/>
  <c r="AD179"/>
  <c r="AI179" s="1"/>
  <c r="AH179"/>
  <c r="AW179"/>
  <c r="AD180"/>
  <c r="AI180" s="1"/>
  <c r="AH180"/>
  <c r="AW180"/>
  <c r="AD181"/>
  <c r="AI181" s="1"/>
  <c r="AH181"/>
  <c r="AW181"/>
  <c r="AD182"/>
  <c r="AI182" s="1"/>
  <c r="AH182"/>
  <c r="AW182"/>
  <c r="AD183"/>
  <c r="AI183" s="1"/>
  <c r="AH183"/>
  <c r="AW183"/>
  <c r="AD184"/>
  <c r="AI184" s="1"/>
  <c r="AH184"/>
  <c r="AW184"/>
  <c r="AD185"/>
  <c r="AI185" s="1"/>
  <c r="AH185"/>
  <c r="AW185"/>
  <c r="AD186"/>
  <c r="AI186" s="1"/>
  <c r="AH186"/>
  <c r="AW186"/>
  <c r="AD187"/>
  <c r="AI187" s="1"/>
  <c r="AH187"/>
  <c r="AW187"/>
  <c r="AD188"/>
  <c r="AI188" s="1"/>
  <c r="AH188"/>
  <c r="AW188"/>
  <c r="AD189"/>
  <c r="AI189" s="1"/>
  <c r="AH189"/>
  <c r="AW189"/>
  <c r="AD190"/>
  <c r="AI190" s="1"/>
  <c r="AH190"/>
  <c r="AW190"/>
  <c r="AD191"/>
  <c r="AI191" s="1"/>
  <c r="AH191"/>
  <c r="AW191"/>
  <c r="AD192"/>
  <c r="AI192" s="1"/>
  <c r="AH192"/>
  <c r="AW192"/>
  <c r="AD193"/>
  <c r="AI193" s="1"/>
  <c r="AH193"/>
  <c r="AW193"/>
  <c r="AD194"/>
  <c r="AI194" s="1"/>
  <c r="AH194"/>
  <c r="AW194"/>
  <c r="AD195"/>
  <c r="AI195" s="1"/>
  <c r="AH195"/>
  <c r="AW195"/>
  <c r="AD196"/>
  <c r="AI196" s="1"/>
  <c r="AH196"/>
  <c r="AW196"/>
  <c r="AD197"/>
  <c r="AI197" s="1"/>
  <c r="AH197"/>
  <c r="AW197"/>
  <c r="AD198"/>
  <c r="AI198" s="1"/>
  <c r="AH198"/>
  <c r="AW198"/>
  <c r="AD199"/>
  <c r="AI199" s="1"/>
  <c r="AH199"/>
  <c r="AW199"/>
  <c r="AD200"/>
  <c r="AI200" s="1"/>
  <c r="AH200"/>
  <c r="AW200"/>
  <c r="AD201"/>
  <c r="AI201" s="1"/>
  <c r="AH201"/>
  <c r="AW201"/>
  <c r="AD202"/>
  <c r="AI202" s="1"/>
  <c r="AH202"/>
  <c r="AW202"/>
  <c r="AD203"/>
  <c r="AI203" s="1"/>
  <c r="AH203"/>
  <c r="AW203"/>
  <c r="AD204"/>
  <c r="AI204" s="1"/>
  <c r="AH204"/>
  <c r="AW204"/>
  <c r="AD205"/>
  <c r="AI205" s="1"/>
  <c r="AH205"/>
  <c r="AW205"/>
  <c r="AD206"/>
  <c r="AI206" s="1"/>
  <c r="AH206"/>
  <c r="AW206"/>
  <c r="AD207"/>
  <c r="AI207" s="1"/>
  <c r="AH207"/>
  <c r="AW207"/>
  <c r="AD208"/>
  <c r="AI208" s="1"/>
  <c r="AH208"/>
  <c r="AW208"/>
  <c r="AD209"/>
  <c r="AI209" s="1"/>
  <c r="AH209"/>
  <c r="AW209"/>
  <c r="AD210"/>
  <c r="AI210" s="1"/>
  <c r="AH210"/>
  <c r="AW210"/>
  <c r="AD211"/>
  <c r="AI211" s="1"/>
  <c r="AH211"/>
  <c r="AW211"/>
  <c r="AD212"/>
  <c r="AI212" s="1"/>
  <c r="AH212"/>
  <c r="AW212"/>
  <c r="AD213"/>
  <c r="AI213" s="1"/>
  <c r="AH213"/>
  <c r="AW213"/>
  <c r="AD214"/>
  <c r="AI214" s="1"/>
  <c r="AH214"/>
  <c r="AW214"/>
  <c r="AD215"/>
  <c r="AI215" s="1"/>
  <c r="AH215"/>
  <c r="AW215"/>
  <c r="AD216"/>
  <c r="AI216" s="1"/>
  <c r="AH216"/>
  <c r="AW216"/>
  <c r="AD217"/>
  <c r="AI217" s="1"/>
  <c r="AH217"/>
  <c r="AW217"/>
  <c r="AD218"/>
  <c r="AI218" s="1"/>
  <c r="AH218"/>
  <c r="AW218"/>
  <c r="AD219"/>
  <c r="AI219" s="1"/>
  <c r="AH219"/>
  <c r="AW219"/>
  <c r="AD220"/>
  <c r="AI220" s="1"/>
  <c r="AH220"/>
  <c r="AW220"/>
  <c r="AD221"/>
  <c r="AI221" s="1"/>
  <c r="AH221"/>
  <c r="AW221"/>
  <c r="AD222"/>
  <c r="AI222" s="1"/>
  <c r="AH222"/>
  <c r="AW222"/>
  <c r="AD223"/>
  <c r="AI223" s="1"/>
  <c r="AH223"/>
  <c r="AW223"/>
  <c r="AD224"/>
  <c r="AI224" s="1"/>
  <c r="AH224"/>
  <c r="AW224"/>
  <c r="AD225"/>
  <c r="AI225" s="1"/>
  <c r="AH225"/>
  <c r="AW225"/>
  <c r="AD226"/>
  <c r="AI226" s="1"/>
  <c r="AH226"/>
  <c r="AW226"/>
  <c r="AD227"/>
  <c r="AI227" s="1"/>
  <c r="AH227"/>
  <c r="AW227"/>
  <c r="AD228"/>
  <c r="AI228" s="1"/>
  <c r="AH228"/>
  <c r="AW228"/>
  <c r="AD229"/>
  <c r="AI229" s="1"/>
  <c r="AH229"/>
  <c r="AW229"/>
  <c r="AD230"/>
  <c r="AI230" s="1"/>
  <c r="AH230"/>
  <c r="AW230"/>
  <c r="AD231"/>
  <c r="AI231" s="1"/>
  <c r="AH231"/>
  <c r="AW231"/>
  <c r="AD232"/>
  <c r="AI232" s="1"/>
  <c r="AH232"/>
  <c r="AW232"/>
  <c r="AD233"/>
  <c r="AI233" s="1"/>
  <c r="AH233"/>
  <c r="AW233"/>
  <c r="AD234"/>
  <c r="AI234" s="1"/>
  <c r="AH234"/>
  <c r="AW234"/>
  <c r="AD235"/>
  <c r="AI235" s="1"/>
  <c r="AH235"/>
  <c r="AW235"/>
  <c r="AD236"/>
  <c r="AI236" s="1"/>
  <c r="AH236"/>
  <c r="AW236"/>
  <c r="AD237"/>
  <c r="AI237" s="1"/>
  <c r="AH237"/>
  <c r="AW237"/>
  <c r="AD238"/>
  <c r="AI238" s="1"/>
  <c r="AH238"/>
  <c r="AW238"/>
  <c r="AD239"/>
  <c r="AI239" s="1"/>
  <c r="AH239"/>
  <c r="AW239"/>
  <c r="AD240"/>
  <c r="AI240" s="1"/>
  <c r="AH240"/>
  <c r="AW240"/>
  <c r="AD241"/>
  <c r="AI241" s="1"/>
  <c r="AH241"/>
  <c r="AW241"/>
  <c r="AD242"/>
  <c r="AI242" s="1"/>
  <c r="AH242"/>
  <c r="AW242"/>
  <c r="AD243"/>
  <c r="AI243" s="1"/>
  <c r="AH243"/>
  <c r="AW243"/>
  <c r="AD244"/>
  <c r="AI244" s="1"/>
  <c r="AH244"/>
  <c r="AW244"/>
  <c r="AW245"/>
  <c r="W245"/>
  <c r="X245" s="1"/>
  <c r="AD245"/>
  <c r="AI245" s="1"/>
  <c r="AH245"/>
  <c r="AX245"/>
  <c r="AE246"/>
  <c r="AV246"/>
  <c r="AE247"/>
  <c r="AV247"/>
  <c r="AG248"/>
  <c r="AG249"/>
  <c r="AG250"/>
  <c r="AG251"/>
  <c r="AG252"/>
  <c r="AG253"/>
  <c r="AG254"/>
  <c r="AG255"/>
  <c r="AG256"/>
  <c r="AG257"/>
  <c r="AG258"/>
  <c r="AG259"/>
  <c r="AG260"/>
  <c r="AX260"/>
  <c r="X261"/>
  <c r="AG261"/>
  <c r="AG262"/>
  <c r="X263"/>
  <c r="AG263"/>
  <c r="AG264"/>
  <c r="X265"/>
  <c r="AG265"/>
  <c r="AG266"/>
  <c r="X267"/>
  <c r="AG267"/>
  <c r="AV123"/>
  <c r="AV124"/>
  <c r="AV125"/>
  <c r="AV126"/>
  <c r="AV127"/>
  <c r="AV128"/>
  <c r="AV129"/>
  <c r="AV130"/>
  <c r="AV131"/>
  <c r="AV132"/>
  <c r="AV133"/>
  <c r="AV134"/>
  <c r="AV135"/>
  <c r="AV136"/>
  <c r="AV137"/>
  <c r="AV138"/>
  <c r="AV139"/>
  <c r="AV140"/>
  <c r="AV141"/>
  <c r="AV142"/>
  <c r="AV143"/>
  <c r="AV144"/>
  <c r="V180"/>
  <c r="W180" s="1"/>
  <c r="X180" s="1"/>
  <c r="AG180"/>
  <c r="V181"/>
  <c r="W181" s="1"/>
  <c r="X181" s="1"/>
  <c r="AG181"/>
  <c r="V182"/>
  <c r="W182" s="1"/>
  <c r="X182" s="1"/>
  <c r="AG182"/>
  <c r="V183"/>
  <c r="W183" s="1"/>
  <c r="X183" s="1"/>
  <c r="AG183"/>
  <c r="V184"/>
  <c r="W184" s="1"/>
  <c r="X184" s="1"/>
  <c r="AG184"/>
  <c r="V185"/>
  <c r="W185" s="1"/>
  <c r="X185" s="1"/>
  <c r="AG185"/>
  <c r="V186"/>
  <c r="W186" s="1"/>
  <c r="X186" s="1"/>
  <c r="AG186"/>
  <c r="V187"/>
  <c r="W187" s="1"/>
  <c r="X187" s="1"/>
  <c r="AG187"/>
  <c r="V188"/>
  <c r="W188" s="1"/>
  <c r="X188" s="1"/>
  <c r="AG188"/>
  <c r="V189"/>
  <c r="W189" s="1"/>
  <c r="X189" s="1"/>
  <c r="AG189"/>
  <c r="V190"/>
  <c r="W190" s="1"/>
  <c r="X190" s="1"/>
  <c r="AG190"/>
  <c r="V191"/>
  <c r="W191" s="1"/>
  <c r="X191" s="1"/>
  <c r="AG191"/>
  <c r="V192"/>
  <c r="W192" s="1"/>
  <c r="X192" s="1"/>
  <c r="AG192"/>
  <c r="V193"/>
  <c r="W193" s="1"/>
  <c r="X193" s="1"/>
  <c r="AG193"/>
  <c r="V194"/>
  <c r="W194" s="1"/>
  <c r="X194" s="1"/>
  <c r="AG194"/>
  <c r="V195"/>
  <c r="W195" s="1"/>
  <c r="X195" s="1"/>
  <c r="AG195"/>
  <c r="V196"/>
  <c r="W196" s="1"/>
  <c r="X196" s="1"/>
  <c r="AG196"/>
  <c r="V197"/>
  <c r="W197" s="1"/>
  <c r="X197" s="1"/>
  <c r="AG197"/>
  <c r="V198"/>
  <c r="W198" s="1"/>
  <c r="X198" s="1"/>
  <c r="AG198"/>
  <c r="V199"/>
  <c r="W199" s="1"/>
  <c r="X199" s="1"/>
  <c r="AG199"/>
  <c r="V200"/>
  <c r="W200" s="1"/>
  <c r="X200" s="1"/>
  <c r="AG200"/>
  <c r="V201"/>
  <c r="W201" s="1"/>
  <c r="X201" s="1"/>
  <c r="AG201"/>
  <c r="V202"/>
  <c r="W202" s="1"/>
  <c r="X202" s="1"/>
  <c r="AG202"/>
  <c r="V203"/>
  <c r="W203" s="1"/>
  <c r="X203" s="1"/>
  <c r="AG203"/>
  <c r="V204"/>
  <c r="W204" s="1"/>
  <c r="X204" s="1"/>
  <c r="AG204"/>
  <c r="V205"/>
  <c r="W205" s="1"/>
  <c r="X205" s="1"/>
  <c r="AG205"/>
  <c r="V206"/>
  <c r="W206" s="1"/>
  <c r="X206" s="1"/>
  <c r="AG206"/>
  <c r="V207"/>
  <c r="W207" s="1"/>
  <c r="X207" s="1"/>
  <c r="AG207"/>
  <c r="V208"/>
  <c r="W208" s="1"/>
  <c r="X208" s="1"/>
  <c r="AG208"/>
  <c r="V209"/>
  <c r="W209" s="1"/>
  <c r="X209" s="1"/>
  <c r="AG209"/>
  <c r="V210"/>
  <c r="W210" s="1"/>
  <c r="X210" s="1"/>
  <c r="AG210"/>
  <c r="V211"/>
  <c r="W211" s="1"/>
  <c r="X211" s="1"/>
  <c r="AG211"/>
  <c r="V212"/>
  <c r="W212" s="1"/>
  <c r="X212" s="1"/>
  <c r="AG212"/>
  <c r="V213"/>
  <c r="W213" s="1"/>
  <c r="X213" s="1"/>
  <c r="AG213"/>
  <c r="V214"/>
  <c r="W214" s="1"/>
  <c r="X214" s="1"/>
  <c r="AG214"/>
  <c r="V215"/>
  <c r="W215" s="1"/>
  <c r="X215" s="1"/>
  <c r="AG215"/>
  <c r="V216"/>
  <c r="W216" s="1"/>
  <c r="X216" s="1"/>
  <c r="AG216"/>
  <c r="V217"/>
  <c r="W217" s="1"/>
  <c r="X217" s="1"/>
  <c r="AG217"/>
  <c r="V218"/>
  <c r="W218" s="1"/>
  <c r="X218" s="1"/>
  <c r="AG218"/>
  <c r="V219"/>
  <c r="W219" s="1"/>
  <c r="X219" s="1"/>
  <c r="AG219"/>
  <c r="V220"/>
  <c r="W220" s="1"/>
  <c r="X220" s="1"/>
  <c r="AG220"/>
  <c r="V221"/>
  <c r="W221" s="1"/>
  <c r="X221" s="1"/>
  <c r="AG221"/>
  <c r="V222"/>
  <c r="W222" s="1"/>
  <c r="X222" s="1"/>
  <c r="AG222"/>
  <c r="V223"/>
  <c r="W223" s="1"/>
  <c r="X223" s="1"/>
  <c r="AG223"/>
  <c r="V224"/>
  <c r="W224" s="1"/>
  <c r="X224" s="1"/>
  <c r="AG224"/>
  <c r="V225"/>
  <c r="W225" s="1"/>
  <c r="X225" s="1"/>
  <c r="AG225"/>
  <c r="V226"/>
  <c r="W226" s="1"/>
  <c r="X226" s="1"/>
  <c r="AG226"/>
  <c r="V227"/>
  <c r="W227" s="1"/>
  <c r="X227" s="1"/>
  <c r="AG227"/>
  <c r="V228"/>
  <c r="W228" s="1"/>
  <c r="X228" s="1"/>
  <c r="AG228"/>
  <c r="V229"/>
  <c r="W229" s="1"/>
  <c r="X229" s="1"/>
  <c r="AG229"/>
  <c r="V230"/>
  <c r="W230" s="1"/>
  <c r="X230" s="1"/>
  <c r="AG230"/>
  <c r="V231"/>
  <c r="W231" s="1"/>
  <c r="X231" s="1"/>
  <c r="AG231"/>
  <c r="V232"/>
  <c r="W232" s="1"/>
  <c r="X232" s="1"/>
  <c r="AG232"/>
  <c r="V233"/>
  <c r="W233" s="1"/>
  <c r="X233" s="1"/>
  <c r="AG233"/>
  <c r="V234"/>
  <c r="W234" s="1"/>
  <c r="X234" s="1"/>
  <c r="AG234"/>
  <c r="V235"/>
  <c r="W235" s="1"/>
  <c r="X235" s="1"/>
  <c r="AG235"/>
  <c r="V236"/>
  <c r="W236" s="1"/>
  <c r="X236" s="1"/>
  <c r="AG236"/>
  <c r="V237"/>
  <c r="W237" s="1"/>
  <c r="X237" s="1"/>
  <c r="AG237"/>
  <c r="V238"/>
  <c r="W238" s="1"/>
  <c r="X238" s="1"/>
  <c r="AG238"/>
  <c r="V239"/>
  <c r="W239" s="1"/>
  <c r="X239" s="1"/>
  <c r="AG239"/>
  <c r="V240"/>
  <c r="W240" s="1"/>
  <c r="X240" s="1"/>
  <c r="AG240"/>
  <c r="V241"/>
  <c r="W241" s="1"/>
  <c r="X241" s="1"/>
  <c r="AG241"/>
  <c r="V242"/>
  <c r="W242" s="1"/>
  <c r="X242" s="1"/>
  <c r="AG242"/>
  <c r="V243"/>
  <c r="W243" s="1"/>
  <c r="X243" s="1"/>
  <c r="AG243"/>
  <c r="V244"/>
  <c r="W244" s="1"/>
  <c r="X244" s="1"/>
  <c r="AG244"/>
  <c r="V245"/>
  <c r="AG245"/>
  <c r="AV245"/>
  <c r="W246"/>
  <c r="X246" s="1"/>
  <c r="AT246"/>
  <c r="AY246" s="1"/>
  <c r="W247"/>
  <c r="AT247"/>
  <c r="AE248"/>
  <c r="AV248"/>
  <c r="AE249"/>
  <c r="AV249"/>
  <c r="AE250"/>
  <c r="AV250"/>
  <c r="AE251"/>
  <c r="AV251"/>
  <c r="AE252"/>
  <c r="AV252"/>
  <c r="AE253"/>
  <c r="AV253"/>
  <c r="AE254"/>
  <c r="AV254"/>
  <c r="AE255"/>
  <c r="AV255"/>
  <c r="AE256"/>
  <c r="AV256"/>
  <c r="AE257"/>
  <c r="AV257"/>
  <c r="AE258"/>
  <c r="AV258"/>
  <c r="AE259"/>
  <c r="AV259"/>
  <c r="AE260"/>
  <c r="AV260"/>
  <c r="AE261"/>
  <c r="AV261"/>
  <c r="AE262"/>
  <c r="AV262"/>
  <c r="AE263"/>
  <c r="AV263"/>
  <c r="AE264"/>
  <c r="AV264"/>
  <c r="AE265"/>
  <c r="AV265"/>
  <c r="AE266"/>
  <c r="AV266"/>
  <c r="AE267"/>
  <c r="AV267"/>
  <c r="AE270"/>
  <c r="AE272"/>
  <c r="AE274"/>
  <c r="AE275"/>
  <c r="AE277"/>
  <c r="AE279"/>
  <c r="AE281"/>
  <c r="AE283"/>
  <c r="AE285"/>
  <c r="AE287"/>
  <c r="AE268"/>
  <c r="U268"/>
  <c r="AX268"/>
  <c r="AT268"/>
  <c r="AY268" s="1"/>
  <c r="AX270"/>
  <c r="AT270"/>
  <c r="AY270" s="1"/>
  <c r="AX272"/>
  <c r="AT272"/>
  <c r="AX275"/>
  <c r="AT275"/>
  <c r="AY275" s="1"/>
  <c r="AX277"/>
  <c r="AT277"/>
  <c r="AY277" s="1"/>
  <c r="AX279"/>
  <c r="AT279"/>
  <c r="AY279" s="1"/>
  <c r="AX281"/>
  <c r="AT281"/>
  <c r="AY281" s="1"/>
  <c r="AX283"/>
  <c r="AT283"/>
  <c r="AY283" s="1"/>
  <c r="AX285"/>
  <c r="AT285"/>
  <c r="AY285" s="1"/>
  <c r="AX287"/>
  <c r="AT287"/>
  <c r="AY287" s="1"/>
  <c r="W248"/>
  <c r="X248" s="1"/>
  <c r="AT248"/>
  <c r="W249"/>
  <c r="X249" s="1"/>
  <c r="AT249"/>
  <c r="W250"/>
  <c r="X250" s="1"/>
  <c r="AT250"/>
  <c r="W251"/>
  <c r="X251" s="1"/>
  <c r="AT251"/>
  <c r="W252"/>
  <c r="X252" s="1"/>
  <c r="AT252"/>
  <c r="W253"/>
  <c r="X253" s="1"/>
  <c r="AT253"/>
  <c r="W254"/>
  <c r="X254" s="1"/>
  <c r="AT254"/>
  <c r="W255"/>
  <c r="X255" s="1"/>
  <c r="AT255"/>
  <c r="W256"/>
  <c r="X256" s="1"/>
  <c r="AT256"/>
  <c r="W257"/>
  <c r="X257" s="1"/>
  <c r="AT257"/>
  <c r="W258"/>
  <c r="X258" s="1"/>
  <c r="AT258"/>
  <c r="W259"/>
  <c r="X259" s="1"/>
  <c r="AT259"/>
  <c r="W260"/>
  <c r="X260" s="1"/>
  <c r="AT260"/>
  <c r="AY260" s="1"/>
  <c r="W261"/>
  <c r="AT261"/>
  <c r="W262"/>
  <c r="X262" s="1"/>
  <c r="AT262"/>
  <c r="W263"/>
  <c r="AT263"/>
  <c r="W264"/>
  <c r="X264" s="1"/>
  <c r="AT264"/>
  <c r="W265"/>
  <c r="AT265"/>
  <c r="W266"/>
  <c r="X266" s="1"/>
  <c r="AT266"/>
  <c r="W267"/>
  <c r="AT267"/>
  <c r="AX274"/>
  <c r="AT274"/>
  <c r="AT123"/>
  <c r="AY123" s="1"/>
  <c r="AT124"/>
  <c r="AY124" s="1"/>
  <c r="AT125"/>
  <c r="AY125" s="1"/>
  <c r="AT126"/>
  <c r="AT127"/>
  <c r="AY127" s="1"/>
  <c r="AT128"/>
  <c r="AY128" s="1"/>
  <c r="AT129"/>
  <c r="AY129" s="1"/>
  <c r="AT130"/>
  <c r="AT131"/>
  <c r="AY131" s="1"/>
  <c r="AT132"/>
  <c r="AY132" s="1"/>
  <c r="AT133"/>
  <c r="AY133" s="1"/>
  <c r="AT134"/>
  <c r="AT135"/>
  <c r="AY135" s="1"/>
  <c r="AT136"/>
  <c r="AY136" s="1"/>
  <c r="AT137"/>
  <c r="AY137" s="1"/>
  <c r="AT138"/>
  <c r="AT139"/>
  <c r="AY139" s="1"/>
  <c r="AT140"/>
  <c r="AY140" s="1"/>
  <c r="AT141"/>
  <c r="AY141" s="1"/>
  <c r="AT142"/>
  <c r="AT143"/>
  <c r="AY143" s="1"/>
  <c r="AT144"/>
  <c r="AY144" s="1"/>
  <c r="AE145"/>
  <c r="AT145"/>
  <c r="AY145" s="1"/>
  <c r="AE146"/>
  <c r="AI146" s="1"/>
  <c r="AT146"/>
  <c r="AY146" s="1"/>
  <c r="AE147"/>
  <c r="AT147"/>
  <c r="AY147" s="1"/>
  <c r="AE148"/>
  <c r="AI148" s="1"/>
  <c r="AT148"/>
  <c r="AY148" s="1"/>
  <c r="AE149"/>
  <c r="AT149"/>
  <c r="AY149" s="1"/>
  <c r="AE150"/>
  <c r="AI150" s="1"/>
  <c r="AT150"/>
  <c r="AY150" s="1"/>
  <c r="AE151"/>
  <c r="AT151"/>
  <c r="AY151" s="1"/>
  <c r="AE152"/>
  <c r="AI152" s="1"/>
  <c r="AT152"/>
  <c r="AY152" s="1"/>
  <c r="AE153"/>
  <c r="AT153"/>
  <c r="AY153" s="1"/>
  <c r="AE154"/>
  <c r="AI154" s="1"/>
  <c r="AT154"/>
  <c r="AY154" s="1"/>
  <c r="AE155"/>
  <c r="AT155"/>
  <c r="AY155" s="1"/>
  <c r="AE156"/>
  <c r="AI156" s="1"/>
  <c r="AT156"/>
  <c r="AY156" s="1"/>
  <c r="AE157"/>
  <c r="AT157"/>
  <c r="AY157" s="1"/>
  <c r="AE158"/>
  <c r="AI158" s="1"/>
  <c r="AT158"/>
  <c r="AY158" s="1"/>
  <c r="AE159"/>
  <c r="AT159"/>
  <c r="AY159" s="1"/>
  <c r="AE160"/>
  <c r="AI160" s="1"/>
  <c r="AT160"/>
  <c r="AY160" s="1"/>
  <c r="AE161"/>
  <c r="AT161"/>
  <c r="AY161" s="1"/>
  <c r="AE162"/>
  <c r="AI162" s="1"/>
  <c r="AT162"/>
  <c r="AY162" s="1"/>
  <c r="AE163"/>
  <c r="AT163"/>
  <c r="AY163" s="1"/>
  <c r="AE164"/>
  <c r="AT164"/>
  <c r="AY164" s="1"/>
  <c r="AE165"/>
  <c r="AT165"/>
  <c r="AY165" s="1"/>
  <c r="AE166"/>
  <c r="AI166" s="1"/>
  <c r="AT166"/>
  <c r="AY166" s="1"/>
  <c r="AE167"/>
  <c r="AT167"/>
  <c r="AY167" s="1"/>
  <c r="AE168"/>
  <c r="AT168"/>
  <c r="AY168" s="1"/>
  <c r="AE169"/>
  <c r="AT169"/>
  <c r="AY169" s="1"/>
  <c r="AE170"/>
  <c r="AT170"/>
  <c r="AY170" s="1"/>
  <c r="AE171"/>
  <c r="AT171"/>
  <c r="AY171" s="1"/>
  <c r="AE172"/>
  <c r="AT172"/>
  <c r="AY172" s="1"/>
  <c r="AE173"/>
  <c r="AT173"/>
  <c r="AY173" s="1"/>
  <c r="AE174"/>
  <c r="AT174"/>
  <c r="AY174" s="1"/>
  <c r="AE175"/>
  <c r="AT175"/>
  <c r="AY175" s="1"/>
  <c r="AE176"/>
  <c r="AT176"/>
  <c r="AY176" s="1"/>
  <c r="AE177"/>
  <c r="AT177"/>
  <c r="AY177" s="1"/>
  <c r="AE178"/>
  <c r="AT178"/>
  <c r="AY178" s="1"/>
  <c r="AE179"/>
  <c r="AT179"/>
  <c r="AY179" s="1"/>
  <c r="AE180"/>
  <c r="AT180"/>
  <c r="AY180" s="1"/>
  <c r="AE181"/>
  <c r="AT181"/>
  <c r="AY181" s="1"/>
  <c r="AE182"/>
  <c r="AT182"/>
  <c r="AY182" s="1"/>
  <c r="AE183"/>
  <c r="AT183"/>
  <c r="AY183" s="1"/>
  <c r="AE184"/>
  <c r="AT184"/>
  <c r="AY184" s="1"/>
  <c r="AE185"/>
  <c r="AT185"/>
  <c r="AY185" s="1"/>
  <c r="AE186"/>
  <c r="AT186"/>
  <c r="AY186" s="1"/>
  <c r="AE187"/>
  <c r="AT187"/>
  <c r="AY187" s="1"/>
  <c r="AE188"/>
  <c r="AT188"/>
  <c r="AY188" s="1"/>
  <c r="AE189"/>
  <c r="AT189"/>
  <c r="AY189" s="1"/>
  <c r="AE190"/>
  <c r="AT190"/>
  <c r="AY190" s="1"/>
  <c r="AE191"/>
  <c r="AT191"/>
  <c r="AY191" s="1"/>
  <c r="AE192"/>
  <c r="AT192"/>
  <c r="AY192" s="1"/>
  <c r="AE193"/>
  <c r="AT193"/>
  <c r="AY193" s="1"/>
  <c r="AE194"/>
  <c r="AT194"/>
  <c r="AY194" s="1"/>
  <c r="AE195"/>
  <c r="AT195"/>
  <c r="AY195" s="1"/>
  <c r="AE196"/>
  <c r="AT196"/>
  <c r="AY196" s="1"/>
  <c r="AE197"/>
  <c r="AT197"/>
  <c r="AY197" s="1"/>
  <c r="AE198"/>
  <c r="AT198"/>
  <c r="AY198" s="1"/>
  <c r="AE199"/>
  <c r="AT199"/>
  <c r="AY199" s="1"/>
  <c r="AE200"/>
  <c r="AT200"/>
  <c r="AY200" s="1"/>
  <c r="AE201"/>
  <c r="AT201"/>
  <c r="AY201" s="1"/>
  <c r="AE202"/>
  <c r="AT202"/>
  <c r="AY202" s="1"/>
  <c r="AE203"/>
  <c r="AT203"/>
  <c r="AY203" s="1"/>
  <c r="AE204"/>
  <c r="AT204"/>
  <c r="AY204" s="1"/>
  <c r="AE205"/>
  <c r="AT205"/>
  <c r="AY205" s="1"/>
  <c r="AE206"/>
  <c r="AT206"/>
  <c r="AY206" s="1"/>
  <c r="AE207"/>
  <c r="AT207"/>
  <c r="AY207" s="1"/>
  <c r="AE208"/>
  <c r="AT208"/>
  <c r="AY208" s="1"/>
  <c r="AE209"/>
  <c r="AT209"/>
  <c r="AY209" s="1"/>
  <c r="AE210"/>
  <c r="AT210"/>
  <c r="AY210" s="1"/>
  <c r="AE211"/>
  <c r="AT211"/>
  <c r="AY211" s="1"/>
  <c r="AE212"/>
  <c r="AT212"/>
  <c r="AY212" s="1"/>
  <c r="AE213"/>
  <c r="AT213"/>
  <c r="AY213" s="1"/>
  <c r="AE214"/>
  <c r="AT214"/>
  <c r="AY214" s="1"/>
  <c r="AE215"/>
  <c r="AT215"/>
  <c r="AY215" s="1"/>
  <c r="AE216"/>
  <c r="AT216"/>
  <c r="AY216" s="1"/>
  <c r="AE217"/>
  <c r="AT217"/>
  <c r="AY217" s="1"/>
  <c r="AE218"/>
  <c r="AT218"/>
  <c r="AY218" s="1"/>
  <c r="AE219"/>
  <c r="AT219"/>
  <c r="AY219" s="1"/>
  <c r="AE220"/>
  <c r="AT220"/>
  <c r="AY220" s="1"/>
  <c r="AE221"/>
  <c r="AT221"/>
  <c r="AY221" s="1"/>
  <c r="AE222"/>
  <c r="AT222"/>
  <c r="AY222" s="1"/>
  <c r="AE223"/>
  <c r="AT223"/>
  <c r="AY223" s="1"/>
  <c r="AE224"/>
  <c r="AT224"/>
  <c r="AY224" s="1"/>
  <c r="AE225"/>
  <c r="AT225"/>
  <c r="AY225" s="1"/>
  <c r="AE226"/>
  <c r="AT226"/>
  <c r="AY226" s="1"/>
  <c r="AE227"/>
  <c r="AT227"/>
  <c r="AY227" s="1"/>
  <c r="AE228"/>
  <c r="AT228"/>
  <c r="AY228" s="1"/>
  <c r="AE229"/>
  <c r="AT229"/>
  <c r="AY229" s="1"/>
  <c r="AE230"/>
  <c r="AT230"/>
  <c r="AY230" s="1"/>
  <c r="AE231"/>
  <c r="AT231"/>
  <c r="AY231" s="1"/>
  <c r="AE232"/>
  <c r="AT232"/>
  <c r="AY232" s="1"/>
  <c r="AE233"/>
  <c r="AT233"/>
  <c r="AY233" s="1"/>
  <c r="AE234"/>
  <c r="AT234"/>
  <c r="AY234" s="1"/>
  <c r="AE235"/>
  <c r="AT235"/>
  <c r="AY235" s="1"/>
  <c r="AE236"/>
  <c r="AT236"/>
  <c r="AY236" s="1"/>
  <c r="AE237"/>
  <c r="AT237"/>
  <c r="AY237" s="1"/>
  <c r="AE238"/>
  <c r="AT238"/>
  <c r="AY238" s="1"/>
  <c r="AE239"/>
  <c r="AT239"/>
  <c r="AY239" s="1"/>
  <c r="AE240"/>
  <c r="AT240"/>
  <c r="AY240" s="1"/>
  <c r="AE241"/>
  <c r="AT241"/>
  <c r="AY241" s="1"/>
  <c r="AE242"/>
  <c r="AT242"/>
  <c r="AY242" s="1"/>
  <c r="AE243"/>
  <c r="AT243"/>
  <c r="AY243" s="1"/>
  <c r="AE244"/>
  <c r="AT244"/>
  <c r="AY244" s="1"/>
  <c r="AE245"/>
  <c r="AT245"/>
  <c r="AY245" s="1"/>
  <c r="AG246"/>
  <c r="X247"/>
  <c r="AG247"/>
  <c r="AU248"/>
  <c r="AY248"/>
  <c r="AU249"/>
  <c r="AY249" s="1"/>
  <c r="AU250"/>
  <c r="AU251"/>
  <c r="AY251" s="1"/>
  <c r="AU252"/>
  <c r="AY252"/>
  <c r="AU253"/>
  <c r="AY253" s="1"/>
  <c r="AU254"/>
  <c r="AU255"/>
  <c r="AY255" s="1"/>
  <c r="AU256"/>
  <c r="AY256"/>
  <c r="AU257"/>
  <c r="AY257" s="1"/>
  <c r="AU258"/>
  <c r="AU259"/>
  <c r="AY259" s="1"/>
  <c r="AU260"/>
  <c r="AU261"/>
  <c r="AY261" s="1"/>
  <c r="AU262"/>
  <c r="AY262" s="1"/>
  <c r="AU263"/>
  <c r="AY263" s="1"/>
  <c r="AU264"/>
  <c r="AY264" s="1"/>
  <c r="AU265"/>
  <c r="AY265" s="1"/>
  <c r="AU266"/>
  <c r="AY266" s="1"/>
  <c r="AU267"/>
  <c r="AY267" s="1"/>
  <c r="AU268"/>
  <c r="AY271"/>
  <c r="AY280"/>
  <c r="AX314"/>
  <c r="AT314"/>
  <c r="AU314"/>
  <c r="X7" i="10"/>
  <c r="W7"/>
  <c r="X20"/>
  <c r="W20"/>
  <c r="X27"/>
  <c r="W27"/>
  <c r="X31"/>
  <c r="W31"/>
  <c r="X40"/>
  <c r="W40"/>
  <c r="AU52"/>
  <c r="AF52"/>
  <c r="AV52"/>
  <c r="AG52"/>
  <c r="AT52"/>
  <c r="AD52"/>
  <c r="AI52" s="1"/>
  <c r="AW52"/>
  <c r="AE52"/>
  <c r="AU58"/>
  <c r="AF58"/>
  <c r="AV58"/>
  <c r="AG58"/>
  <c r="AT58"/>
  <c r="AD58"/>
  <c r="AW58"/>
  <c r="AE58"/>
  <c r="AF7" i="11"/>
  <c r="AG7"/>
  <c r="AG8"/>
  <c r="AF8"/>
  <c r="V12"/>
  <c r="W12" s="1"/>
  <c r="X12" s="1"/>
  <c r="AG20"/>
  <c r="AF20"/>
  <c r="V27"/>
  <c r="W27" s="1"/>
  <c r="X27" s="1"/>
  <c r="V34"/>
  <c r="W34"/>
  <c r="X34" s="1"/>
  <c r="V36"/>
  <c r="W36" s="1"/>
  <c r="X36" s="1"/>
  <c r="V43"/>
  <c r="W43"/>
  <c r="X43"/>
  <c r="AG49"/>
  <c r="AF49"/>
  <c r="AD246" i="6"/>
  <c r="AH246"/>
  <c r="AW246"/>
  <c r="AD247"/>
  <c r="AH247"/>
  <c r="AW247"/>
  <c r="AY247" s="1"/>
  <c r="AD248"/>
  <c r="AI248" s="1"/>
  <c r="AH248"/>
  <c r="AW248"/>
  <c r="AD249"/>
  <c r="AI249" s="1"/>
  <c r="AH249"/>
  <c r="AW249"/>
  <c r="AD250"/>
  <c r="AI250" s="1"/>
  <c r="AH250"/>
  <c r="AW250"/>
  <c r="AY250" s="1"/>
  <c r="AD251"/>
  <c r="AI251" s="1"/>
  <c r="AH251"/>
  <c r="AW251"/>
  <c r="AD252"/>
  <c r="AI252" s="1"/>
  <c r="AH252"/>
  <c r="AW252"/>
  <c r="AD253"/>
  <c r="AI253" s="1"/>
  <c r="AH253"/>
  <c r="AW253"/>
  <c r="AD254"/>
  <c r="AI254" s="1"/>
  <c r="AH254"/>
  <c r="AW254"/>
  <c r="AY254" s="1"/>
  <c r="AD255"/>
  <c r="AI255" s="1"/>
  <c r="AH255"/>
  <c r="AW255"/>
  <c r="AD256"/>
  <c r="AI256" s="1"/>
  <c r="AH256"/>
  <c r="AW256"/>
  <c r="AD257"/>
  <c r="AI257" s="1"/>
  <c r="AH257"/>
  <c r="AW257"/>
  <c r="AD258"/>
  <c r="AI258" s="1"/>
  <c r="AH258"/>
  <c r="AW258"/>
  <c r="AY258" s="1"/>
  <c r="AD259"/>
  <c r="AI259" s="1"/>
  <c r="AH259"/>
  <c r="AW259"/>
  <c r="AD260"/>
  <c r="AI260" s="1"/>
  <c r="AH260"/>
  <c r="AW260"/>
  <c r="AD261"/>
  <c r="AI261" s="1"/>
  <c r="AH261"/>
  <c r="AW261"/>
  <c r="AD262"/>
  <c r="AI262" s="1"/>
  <c r="AH262"/>
  <c r="AW262"/>
  <c r="AD263"/>
  <c r="AI263" s="1"/>
  <c r="AH263"/>
  <c r="AW263"/>
  <c r="AD264"/>
  <c r="AI264" s="1"/>
  <c r="AH264"/>
  <c r="AW264"/>
  <c r="AD265"/>
  <c r="AI265" s="1"/>
  <c r="AH265"/>
  <c r="AW265"/>
  <c r="AD266"/>
  <c r="AI266" s="1"/>
  <c r="AH266"/>
  <c r="AW266"/>
  <c r="AD267"/>
  <c r="AI267" s="1"/>
  <c r="AH267"/>
  <c r="AW267"/>
  <c r="AD268"/>
  <c r="AI268" s="1"/>
  <c r="AH268"/>
  <c r="AW268"/>
  <c r="AD269"/>
  <c r="AI269" s="1"/>
  <c r="AH269"/>
  <c r="AW269"/>
  <c r="AY269" s="1"/>
  <c r="AD270"/>
  <c r="AI270" s="1"/>
  <c r="AH270"/>
  <c r="AW270"/>
  <c r="AD271"/>
  <c r="AI271" s="1"/>
  <c r="AH271"/>
  <c r="AW271"/>
  <c r="AD272"/>
  <c r="AI272" s="1"/>
  <c r="AH272"/>
  <c r="AW272"/>
  <c r="AY272" s="1"/>
  <c r="AD273"/>
  <c r="AI273" s="1"/>
  <c r="AH273"/>
  <c r="AW273"/>
  <c r="AY273" s="1"/>
  <c r="AD274"/>
  <c r="AI274" s="1"/>
  <c r="AH274"/>
  <c r="AW274"/>
  <c r="AY274" s="1"/>
  <c r="AD275"/>
  <c r="AI275" s="1"/>
  <c r="AH275"/>
  <c r="AW275"/>
  <c r="AD276"/>
  <c r="AI276" s="1"/>
  <c r="AH276"/>
  <c r="AW276"/>
  <c r="AY276" s="1"/>
  <c r="AD277"/>
  <c r="AI277" s="1"/>
  <c r="AH277"/>
  <c r="AW277"/>
  <c r="AD278"/>
  <c r="AI278" s="1"/>
  <c r="AH278"/>
  <c r="AW278"/>
  <c r="AY278" s="1"/>
  <c r="AD279"/>
  <c r="AI279" s="1"/>
  <c r="AH279"/>
  <c r="AW279"/>
  <c r="AD280"/>
  <c r="AI280" s="1"/>
  <c r="AH280"/>
  <c r="AW280"/>
  <c r="AD281"/>
  <c r="AH281"/>
  <c r="AW281"/>
  <c r="AD282"/>
  <c r="AI282" s="1"/>
  <c r="AH282"/>
  <c r="AW282"/>
  <c r="AY282" s="1"/>
  <c r="AD283"/>
  <c r="AI283" s="1"/>
  <c r="AH283"/>
  <c r="AW283"/>
  <c r="AD284"/>
  <c r="AI284" s="1"/>
  <c r="AH284"/>
  <c r="AW284"/>
  <c r="AY284" s="1"/>
  <c r="AD285"/>
  <c r="AI285" s="1"/>
  <c r="AH285"/>
  <c r="AW285"/>
  <c r="AD286"/>
  <c r="AI286" s="1"/>
  <c r="AH286"/>
  <c r="AW286"/>
  <c r="AY286" s="1"/>
  <c r="AD287"/>
  <c r="AI287" s="1"/>
  <c r="AH287"/>
  <c r="AW287"/>
  <c r="AD288"/>
  <c r="AI288" s="1"/>
  <c r="AH288"/>
  <c r="AW288"/>
  <c r="AD289"/>
  <c r="AI289" s="1"/>
  <c r="AH289"/>
  <c r="AW289"/>
  <c r="AD290"/>
  <c r="AI290" s="1"/>
  <c r="AH290"/>
  <c r="AW290"/>
  <c r="AD291"/>
  <c r="AI291" s="1"/>
  <c r="AH291"/>
  <c r="AW291"/>
  <c r="AD292"/>
  <c r="AI292" s="1"/>
  <c r="AH292"/>
  <c r="AW292"/>
  <c r="AD293"/>
  <c r="AI293" s="1"/>
  <c r="AH293"/>
  <c r="AW293"/>
  <c r="AD294"/>
  <c r="AI294" s="1"/>
  <c r="AH294"/>
  <c r="AW294"/>
  <c r="AD295"/>
  <c r="AI295" s="1"/>
  <c r="AH295"/>
  <c r="AW295"/>
  <c r="AD296"/>
  <c r="AI296" s="1"/>
  <c r="AH296"/>
  <c r="AW296"/>
  <c r="AD297"/>
  <c r="AI297" s="1"/>
  <c r="AH297"/>
  <c r="AW297"/>
  <c r="AD298"/>
  <c r="AI298" s="1"/>
  <c r="AH298"/>
  <c r="AW298"/>
  <c r="AD299"/>
  <c r="AI299" s="1"/>
  <c r="AH299"/>
  <c r="AW299"/>
  <c r="AD300"/>
  <c r="AI300" s="1"/>
  <c r="AH300"/>
  <c r="AW300"/>
  <c r="AD301"/>
  <c r="AI301" s="1"/>
  <c r="AH301"/>
  <c r="AD302"/>
  <c r="AI302" s="1"/>
  <c r="AH302"/>
  <c r="AD303"/>
  <c r="AI303" s="1"/>
  <c r="AH303"/>
  <c r="AD304"/>
  <c r="AI304" s="1"/>
  <c r="AH304"/>
  <c r="AD305"/>
  <c r="AI305" s="1"/>
  <c r="AH305"/>
  <c r="AD306"/>
  <c r="AI306" s="1"/>
  <c r="AH306"/>
  <c r="AD307"/>
  <c r="AI307" s="1"/>
  <c r="AH307"/>
  <c r="AD308"/>
  <c r="AI308" s="1"/>
  <c r="AH308"/>
  <c r="AD309"/>
  <c r="AI309" s="1"/>
  <c r="AH309"/>
  <c r="AD310"/>
  <c r="AI310" s="1"/>
  <c r="AH310"/>
  <c r="AD311"/>
  <c r="AI311" s="1"/>
  <c r="AH311"/>
  <c r="AD312"/>
  <c r="AI312" s="1"/>
  <c r="AH312"/>
  <c r="AD313"/>
  <c r="AI313" s="1"/>
  <c r="AH313"/>
  <c r="AD314"/>
  <c r="AI314" s="1"/>
  <c r="AH314"/>
  <c r="AV314"/>
  <c r="AD315"/>
  <c r="AD316"/>
  <c r="AD317"/>
  <c r="AI317" s="1"/>
  <c r="AD318"/>
  <c r="AD319"/>
  <c r="AI319" s="1"/>
  <c r="AD320"/>
  <c r="AV4" i="7"/>
  <c r="AY4" s="1"/>
  <c r="AG4"/>
  <c r="AX4"/>
  <c r="AV5"/>
  <c r="AY5" s="1"/>
  <c r="AX5"/>
  <c r="AV6"/>
  <c r="AY6" s="1"/>
  <c r="AX6"/>
  <c r="AV7"/>
  <c r="AY7" s="1"/>
  <c r="AX7"/>
  <c r="AV8"/>
  <c r="AY8" s="1"/>
  <c r="AX8"/>
  <c r="AV9"/>
  <c r="AY9" s="1"/>
  <c r="AX9"/>
  <c r="AV10"/>
  <c r="AY10" s="1"/>
  <c r="AX10"/>
  <c r="AV11"/>
  <c r="AY11" s="1"/>
  <c r="AX11"/>
  <c r="AV12"/>
  <c r="AY12" s="1"/>
  <c r="AX12"/>
  <c r="AV13"/>
  <c r="AY13" s="1"/>
  <c r="AX13"/>
  <c r="AV14"/>
  <c r="AY14" s="1"/>
  <c r="AX14"/>
  <c r="AV15"/>
  <c r="AY15" s="1"/>
  <c r="AX15"/>
  <c r="AV16"/>
  <c r="AY16" s="1"/>
  <c r="AX16"/>
  <c r="AV17"/>
  <c r="AY17" s="1"/>
  <c r="AX17"/>
  <c r="AV18"/>
  <c r="AY18" s="1"/>
  <c r="AX18"/>
  <c r="AV19"/>
  <c r="AY19" s="1"/>
  <c r="AX19"/>
  <c r="AV20"/>
  <c r="AY20" s="1"/>
  <c r="AX20"/>
  <c r="AV21"/>
  <c r="AY21" s="1"/>
  <c r="AX21"/>
  <c r="AV22"/>
  <c r="AY22" s="1"/>
  <c r="AX22"/>
  <c r="AV23"/>
  <c r="AY23" s="1"/>
  <c r="AX23"/>
  <c r="AV24"/>
  <c r="AY24" s="1"/>
  <c r="AX24"/>
  <c r="AV25"/>
  <c r="AY25" s="1"/>
  <c r="AX25"/>
  <c r="AV26"/>
  <c r="AY26" s="1"/>
  <c r="AX26"/>
  <c r="AV27"/>
  <c r="AY27" s="1"/>
  <c r="AX27"/>
  <c r="AV28"/>
  <c r="AY28" s="1"/>
  <c r="AX28"/>
  <c r="AV29"/>
  <c r="AY29" s="1"/>
  <c r="AX29"/>
  <c r="AV30"/>
  <c r="AY30" s="1"/>
  <c r="AX30"/>
  <c r="AV31"/>
  <c r="AY31" s="1"/>
  <c r="AX31"/>
  <c r="AV32"/>
  <c r="AY32" s="1"/>
  <c r="AX32"/>
  <c r="AV33"/>
  <c r="AY33" s="1"/>
  <c r="AX33"/>
  <c r="AV34"/>
  <c r="AY34" s="1"/>
  <c r="AX34"/>
  <c r="AV35"/>
  <c r="AY35" s="1"/>
  <c r="AX35"/>
  <c r="AV36"/>
  <c r="AY36" s="1"/>
  <c r="AX36"/>
  <c r="AV37"/>
  <c r="AY37" s="1"/>
  <c r="AX37"/>
  <c r="AV38"/>
  <c r="AY38" s="1"/>
  <c r="AX38"/>
  <c r="AV39"/>
  <c r="AY39" s="1"/>
  <c r="AX39"/>
  <c r="AV40"/>
  <c r="AY40" s="1"/>
  <c r="AX40"/>
  <c r="AV41"/>
  <c r="AY41" s="1"/>
  <c r="AX41"/>
  <c r="AV42"/>
  <c r="AY42" s="1"/>
  <c r="AX42"/>
  <c r="AV43"/>
  <c r="AY43" s="1"/>
  <c r="AX43"/>
  <c r="AV44"/>
  <c r="AY44" s="1"/>
  <c r="AX44"/>
  <c r="AV45"/>
  <c r="AY45" s="1"/>
  <c r="AX45"/>
  <c r="AV46"/>
  <c r="AY46" s="1"/>
  <c r="AX46"/>
  <c r="AV47"/>
  <c r="AY47" s="1"/>
  <c r="AX47"/>
  <c r="AV48"/>
  <c r="AY48" s="1"/>
  <c r="AX48"/>
  <c r="AV49"/>
  <c r="AY49" s="1"/>
  <c r="AX49"/>
  <c r="AV50"/>
  <c r="AY50" s="1"/>
  <c r="AX50"/>
  <c r="AV51"/>
  <c r="AY51" s="1"/>
  <c r="AX51"/>
  <c r="AV52"/>
  <c r="AY52" s="1"/>
  <c r="AX52"/>
  <c r="AV53"/>
  <c r="AY53" s="1"/>
  <c r="AX53"/>
  <c r="AH52" i="10"/>
  <c r="AX52"/>
  <c r="AH58"/>
  <c r="U54"/>
  <c r="AT54"/>
  <c r="AD54"/>
  <c r="U60"/>
  <c r="AW60"/>
  <c r="AE60"/>
  <c r="AT60"/>
  <c r="AD60"/>
  <c r="AU5" i="11"/>
  <c r="AV5"/>
  <c r="AG11"/>
  <c r="AF11"/>
  <c r="V16"/>
  <c r="W16" s="1"/>
  <c r="X16" s="1"/>
  <c r="V18"/>
  <c r="W18" s="1"/>
  <c r="X18" s="1"/>
  <c r="AG26"/>
  <c r="AF26"/>
  <c r="AG33"/>
  <c r="AF33"/>
  <c r="AG42"/>
  <c r="AF42"/>
  <c r="AG47"/>
  <c r="AF47"/>
  <c r="AV288" i="6"/>
  <c r="AG289"/>
  <c r="AV289"/>
  <c r="AG290"/>
  <c r="AV290"/>
  <c r="AG291"/>
  <c r="AV291"/>
  <c r="AG292"/>
  <c r="AV292"/>
  <c r="AG293"/>
  <c r="AV293"/>
  <c r="AG294"/>
  <c r="AV294"/>
  <c r="AG295"/>
  <c r="AV295"/>
  <c r="AG296"/>
  <c r="AV296"/>
  <c r="AG297"/>
  <c r="AV297"/>
  <c r="AG298"/>
  <c r="AV298"/>
  <c r="AG299"/>
  <c r="AV299"/>
  <c r="AG300"/>
  <c r="AV300"/>
  <c r="AG301"/>
  <c r="AV301"/>
  <c r="AG302"/>
  <c r="AV302"/>
  <c r="AG303"/>
  <c r="AV303"/>
  <c r="AG304"/>
  <c r="AV304"/>
  <c r="AG305"/>
  <c r="AV305"/>
  <c r="AG306"/>
  <c r="AV306"/>
  <c r="AG307"/>
  <c r="AV307"/>
  <c r="AG308"/>
  <c r="AV308"/>
  <c r="AG309"/>
  <c r="AV309"/>
  <c r="AG310"/>
  <c r="AV310"/>
  <c r="AG311"/>
  <c r="AV311"/>
  <c r="AG312"/>
  <c r="AV312"/>
  <c r="AG313"/>
  <c r="AV313"/>
  <c r="AG314"/>
  <c r="AY314"/>
  <c r="X315"/>
  <c r="AX44" i="10"/>
  <c r="AX45"/>
  <c r="AX58"/>
  <c r="AX315" i="6"/>
  <c r="AT315"/>
  <c r="AY315" s="1"/>
  <c r="AE315"/>
  <c r="AI315" s="1"/>
  <c r="AU315"/>
  <c r="AF315"/>
  <c r="AX316"/>
  <c r="AT316"/>
  <c r="AY316" s="1"/>
  <c r="AE316"/>
  <c r="AU316"/>
  <c r="AF316"/>
  <c r="AI316" s="1"/>
  <c r="U316"/>
  <c r="AX317"/>
  <c r="AT317"/>
  <c r="AE317"/>
  <c r="AU317"/>
  <c r="AY317" s="1"/>
  <c r="AF317"/>
  <c r="AX318"/>
  <c r="AT318"/>
  <c r="AY318" s="1"/>
  <c r="AE318"/>
  <c r="AI318" s="1"/>
  <c r="AU318"/>
  <c r="AF318"/>
  <c r="U318"/>
  <c r="AX319"/>
  <c r="AT319"/>
  <c r="AE319"/>
  <c r="AU319"/>
  <c r="AY319" s="1"/>
  <c r="AF319"/>
  <c r="U319"/>
  <c r="AX320"/>
  <c r="AT320"/>
  <c r="AY320" s="1"/>
  <c r="AE320"/>
  <c r="AI320" s="1"/>
  <c r="AU320"/>
  <c r="AF320"/>
  <c r="U320"/>
  <c r="X14" i="10"/>
  <c r="W14"/>
  <c r="W15"/>
  <c r="X15" s="1"/>
  <c r="X17"/>
  <c r="W17"/>
  <c r="W22"/>
  <c r="X22" s="1"/>
  <c r="X23"/>
  <c r="W23"/>
  <c r="W35"/>
  <c r="X35" s="1"/>
  <c r="X38"/>
  <c r="W38"/>
  <c r="X39"/>
  <c r="W39"/>
  <c r="AU51"/>
  <c r="AF51"/>
  <c r="AV51"/>
  <c r="AG51"/>
  <c r="AT51"/>
  <c r="AD51"/>
  <c r="AW51"/>
  <c r="AE51"/>
  <c r="AU53"/>
  <c r="AF53"/>
  <c r="AV53"/>
  <c r="AG53"/>
  <c r="AT53"/>
  <c r="AD53"/>
  <c r="AW53"/>
  <c r="AE53"/>
  <c r="AG10" i="11"/>
  <c r="AF10"/>
  <c r="W14"/>
  <c r="X14"/>
  <c r="V14"/>
  <c r="AG15"/>
  <c r="AF15"/>
  <c r="AG24"/>
  <c r="AF24"/>
  <c r="AG31"/>
  <c r="AF31"/>
  <c r="AG40"/>
  <c r="AF40"/>
  <c r="AG45"/>
  <c r="AF45"/>
  <c r="AF246" i="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U269"/>
  <c r="AF269"/>
  <c r="U270"/>
  <c r="AF270"/>
  <c r="U271"/>
  <c r="AF271"/>
  <c r="U272"/>
  <c r="AF272"/>
  <c r="U273"/>
  <c r="AF273"/>
  <c r="U274"/>
  <c r="AF274"/>
  <c r="U275"/>
  <c r="AF275"/>
  <c r="U276"/>
  <c r="AF276"/>
  <c r="U277"/>
  <c r="AF277"/>
  <c r="U278"/>
  <c r="AF278"/>
  <c r="U279"/>
  <c r="AF279"/>
  <c r="U280"/>
  <c r="AF280"/>
  <c r="U281"/>
  <c r="AF281"/>
  <c r="AI281" s="1"/>
  <c r="U282"/>
  <c r="AF282"/>
  <c r="U283"/>
  <c r="AF283"/>
  <c r="U284"/>
  <c r="AF284"/>
  <c r="U285"/>
  <c r="AF285"/>
  <c r="U286"/>
  <c r="AF286"/>
  <c r="U287"/>
  <c r="AF287"/>
  <c r="U288"/>
  <c r="AF288"/>
  <c r="U289"/>
  <c r="AF289"/>
  <c r="U290"/>
  <c r="AF290"/>
  <c r="U291"/>
  <c r="AF291"/>
  <c r="AY291"/>
  <c r="U292"/>
  <c r="AF292"/>
  <c r="U293"/>
  <c r="AF293"/>
  <c r="U294"/>
  <c r="AF294"/>
  <c r="U295"/>
  <c r="AF295"/>
  <c r="U296"/>
  <c r="AF296"/>
  <c r="U297"/>
  <c r="AF297"/>
  <c r="U298"/>
  <c r="AF298"/>
  <c r="U299"/>
  <c r="AF299"/>
  <c r="U300"/>
  <c r="U301"/>
  <c r="AU301"/>
  <c r="U302"/>
  <c r="AU302"/>
  <c r="AY302"/>
  <c r="U303"/>
  <c r="AU303"/>
  <c r="U304"/>
  <c r="AU304"/>
  <c r="U305"/>
  <c r="AU305"/>
  <c r="U306"/>
  <c r="AU306"/>
  <c r="AY306"/>
  <c r="U307"/>
  <c r="AU307"/>
  <c r="U308"/>
  <c r="AU308"/>
  <c r="U309"/>
  <c r="AU309"/>
  <c r="U310"/>
  <c r="AU310"/>
  <c r="AY310"/>
  <c r="U311"/>
  <c r="AU311"/>
  <c r="U312"/>
  <c r="AU312"/>
  <c r="U313"/>
  <c r="AU313"/>
  <c r="U314"/>
  <c r="AH315"/>
  <c r="AH316"/>
  <c r="AH317"/>
  <c r="AH318"/>
  <c r="AH319"/>
  <c r="AH320"/>
  <c r="U4" i="7"/>
  <c r="AE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BD5" i="10"/>
  <c r="BD6"/>
  <c r="BD10"/>
  <c r="AH51"/>
  <c r="AX51"/>
  <c r="AH53"/>
  <c r="U59"/>
  <c r="AW59"/>
  <c r="AE59"/>
  <c r="AT59"/>
  <c r="AY59" s="1"/>
  <c r="AD59"/>
  <c r="AF6" i="11"/>
  <c r="AG6"/>
  <c r="AU6"/>
  <c r="AV6"/>
  <c r="AG9"/>
  <c r="AF9"/>
  <c r="W13"/>
  <c r="X13" s="1"/>
  <c r="V13"/>
  <c r="AG22"/>
  <c r="AF22"/>
  <c r="AG29"/>
  <c r="AF29"/>
  <c r="AG38"/>
  <c r="AF38"/>
  <c r="AT288" i="6"/>
  <c r="AY288" s="1"/>
  <c r="AT289"/>
  <c r="AY289" s="1"/>
  <c r="AT290"/>
  <c r="AY290" s="1"/>
  <c r="AT291"/>
  <c r="AT292"/>
  <c r="AY292" s="1"/>
  <c r="AT293"/>
  <c r="AY293" s="1"/>
  <c r="AT294"/>
  <c r="AY294" s="1"/>
  <c r="AT295"/>
  <c r="AY295" s="1"/>
  <c r="AT296"/>
  <c r="AY296" s="1"/>
  <c r="AT297"/>
  <c r="AY297" s="1"/>
  <c r="AT298"/>
  <c r="AY298" s="1"/>
  <c r="AT299"/>
  <c r="AY299" s="1"/>
  <c r="AT300"/>
  <c r="AY300" s="1"/>
  <c r="AT301"/>
  <c r="AY301" s="1"/>
  <c r="AT302"/>
  <c r="AT303"/>
  <c r="AY303" s="1"/>
  <c r="AT304"/>
  <c r="AY304" s="1"/>
  <c r="AT305"/>
  <c r="AY305" s="1"/>
  <c r="AT306"/>
  <c r="AT307"/>
  <c r="AY307" s="1"/>
  <c r="AT308"/>
  <c r="AY308" s="1"/>
  <c r="AT309"/>
  <c r="AY309" s="1"/>
  <c r="AT310"/>
  <c r="AT311"/>
  <c r="AY311" s="1"/>
  <c r="AT312"/>
  <c r="AY312" s="1"/>
  <c r="AT313"/>
  <c r="AY313" s="1"/>
  <c r="AE314"/>
  <c r="W315"/>
  <c r="AG315"/>
  <c r="AW315"/>
  <c r="AG316"/>
  <c r="AW316"/>
  <c r="W317"/>
  <c r="X317" s="1"/>
  <c r="AG317"/>
  <c r="AW317"/>
  <c r="AG318"/>
  <c r="AW318"/>
  <c r="AG319"/>
  <c r="AW319"/>
  <c r="AG320"/>
  <c r="AW320"/>
  <c r="AX16" i="10"/>
  <c r="AX17"/>
  <c r="AX18"/>
  <c r="V20"/>
  <c r="AX21"/>
  <c r="AX22"/>
  <c r="V24"/>
  <c r="W24" s="1"/>
  <c r="X24" s="1"/>
  <c r="V26"/>
  <c r="W26" s="1"/>
  <c r="X26" s="1"/>
  <c r="V36"/>
  <c r="W36" s="1"/>
  <c r="X36" s="1"/>
  <c r="AX37"/>
  <c r="AX38"/>
  <c r="V40"/>
  <c r="AX41"/>
  <c r="AX42"/>
  <c r="AX47"/>
  <c r="AX53"/>
  <c r="AU48"/>
  <c r="AV48"/>
  <c r="AU50"/>
  <c r="AF50"/>
  <c r="AV50"/>
  <c r="AG50"/>
  <c r="AU57"/>
  <c r="AF57"/>
  <c r="AV57"/>
  <c r="AG57"/>
  <c r="V19" i="11"/>
  <c r="W19" s="1"/>
  <c r="X19" s="1"/>
  <c r="V21"/>
  <c r="W21"/>
  <c r="X21" s="1"/>
  <c r="V23"/>
  <c r="W23" s="1"/>
  <c r="X23" s="1"/>
  <c r="V25"/>
  <c r="W25" s="1"/>
  <c r="X25" s="1"/>
  <c r="V28"/>
  <c r="W28" s="1"/>
  <c r="X28" s="1"/>
  <c r="V30"/>
  <c r="W30"/>
  <c r="X30" s="1"/>
  <c r="V32"/>
  <c r="W32" s="1"/>
  <c r="X32" s="1"/>
  <c r="V37"/>
  <c r="W37" s="1"/>
  <c r="X37" s="1"/>
  <c r="V39"/>
  <c r="W39" s="1"/>
  <c r="X39" s="1"/>
  <c r="V41"/>
  <c r="W41"/>
  <c r="X41" s="1"/>
  <c r="V46"/>
  <c r="W46" s="1"/>
  <c r="X46" s="1"/>
  <c r="V48"/>
  <c r="W48" s="1"/>
  <c r="X48" s="1"/>
  <c r="V50"/>
  <c r="W50"/>
  <c r="X50"/>
  <c r="AD4" i="10"/>
  <c r="AI4" s="1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I13" s="1"/>
  <c r="AH13"/>
  <c r="AW13"/>
  <c r="AD14"/>
  <c r="AI14" s="1"/>
  <c r="AH14"/>
  <c r="AW14"/>
  <c r="AD15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I22" s="1"/>
  <c r="AH22"/>
  <c r="AW22"/>
  <c r="AD23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I34" s="1"/>
  <c r="AH34"/>
  <c r="AW34"/>
  <c r="AD35"/>
  <c r="AH35"/>
  <c r="AW35"/>
  <c r="AD36"/>
  <c r="AI36" s="1"/>
  <c r="AH36"/>
  <c r="AW36"/>
  <c r="AD37"/>
  <c r="AI37" s="1"/>
  <c r="AH37"/>
  <c r="AW37"/>
  <c r="AD38"/>
  <c r="AI38" s="1"/>
  <c r="AH38"/>
  <c r="AW38"/>
  <c r="AD39"/>
  <c r="AH39"/>
  <c r="AW39"/>
  <c r="AD40"/>
  <c r="AI40" s="1"/>
  <c r="AH40"/>
  <c r="AW40"/>
  <c r="AD41"/>
  <c r="AI41" s="1"/>
  <c r="AH41"/>
  <c r="AW41"/>
  <c r="AD42"/>
  <c r="AI42" s="1"/>
  <c r="AH42"/>
  <c r="AW42"/>
  <c r="AD43"/>
  <c r="AI43" s="1"/>
  <c r="AH43"/>
  <c r="AW43"/>
  <c r="AD44"/>
  <c r="AI44" s="1"/>
  <c r="AH44"/>
  <c r="AW44"/>
  <c r="AD45"/>
  <c r="AI45" s="1"/>
  <c r="AH45"/>
  <c r="AW45"/>
  <c r="AD46"/>
  <c r="AI46" s="1"/>
  <c r="AH46"/>
  <c r="AW46"/>
  <c r="AD47"/>
  <c r="AH47"/>
  <c r="AW47"/>
  <c r="AD48"/>
  <c r="AI48" s="1"/>
  <c r="AH48"/>
  <c r="AT48"/>
  <c r="AY48" s="1"/>
  <c r="AH50"/>
  <c r="AX50"/>
  <c r="U51"/>
  <c r="AY51"/>
  <c r="U52"/>
  <c r="AY52"/>
  <c r="U53"/>
  <c r="AY53"/>
  <c r="AH57"/>
  <c r="AX57"/>
  <c r="U58"/>
  <c r="AY58"/>
  <c r="AW5" i="11"/>
  <c r="AU54" i="10"/>
  <c r="AY54" s="1"/>
  <c r="AF54"/>
  <c r="AV54"/>
  <c r="AG54"/>
  <c r="AU59"/>
  <c r="AF59"/>
  <c r="AV59"/>
  <c r="AG59"/>
  <c r="AU60"/>
  <c r="AY60" s="1"/>
  <c r="AF60"/>
  <c r="AV60"/>
  <c r="AG60"/>
  <c r="W4" i="11"/>
  <c r="X4" s="1"/>
  <c r="W5"/>
  <c r="X5" s="1"/>
  <c r="V15"/>
  <c r="W15" s="1"/>
  <c r="X15" s="1"/>
  <c r="V20"/>
  <c r="W20"/>
  <c r="X20" s="1"/>
  <c r="V22"/>
  <c r="W22" s="1"/>
  <c r="X22" s="1"/>
  <c r="V24"/>
  <c r="W24" s="1"/>
  <c r="X24" s="1"/>
  <c r="V26"/>
  <c r="W26" s="1"/>
  <c r="X26" s="1"/>
  <c r="V29"/>
  <c r="W29"/>
  <c r="X29" s="1"/>
  <c r="V31"/>
  <c r="W31" s="1"/>
  <c r="X31" s="1"/>
  <c r="V33"/>
  <c r="W33" s="1"/>
  <c r="X33" s="1"/>
  <c r="V38"/>
  <c r="W38" s="1"/>
  <c r="X38" s="1"/>
  <c r="V40"/>
  <c r="W40"/>
  <c r="X40" s="1"/>
  <c r="V42"/>
  <c r="W42" s="1"/>
  <c r="X42" s="1"/>
  <c r="V45"/>
  <c r="W45" s="1"/>
  <c r="X45" s="1"/>
  <c r="V47"/>
  <c r="W47" s="1"/>
  <c r="X47" s="1"/>
  <c r="V49"/>
  <c r="W49"/>
  <c r="X49" s="1"/>
  <c r="AD4" i="7"/>
  <c r="AI4" s="1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I13" s="1"/>
  <c r="AH13"/>
  <c r="AW13"/>
  <c r="AD14"/>
  <c r="AI14" s="1"/>
  <c r="AH14"/>
  <c r="AW14"/>
  <c r="AD15"/>
  <c r="AI15" s="1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I22" s="1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I34" s="1"/>
  <c r="AH34"/>
  <c r="AW34"/>
  <c r="AD35"/>
  <c r="AI35" s="1"/>
  <c r="AH35"/>
  <c r="AW35"/>
  <c r="AD36"/>
  <c r="AI36" s="1"/>
  <c r="AH36"/>
  <c r="AW36"/>
  <c r="AD37"/>
  <c r="AI37" s="1"/>
  <c r="AH37"/>
  <c r="AW37"/>
  <c r="AD38"/>
  <c r="AI38" s="1"/>
  <c r="AH38"/>
  <c r="AW38"/>
  <c r="AD39"/>
  <c r="AI39" s="1"/>
  <c r="AH39"/>
  <c r="AW39"/>
  <c r="AD40"/>
  <c r="AI40" s="1"/>
  <c r="AH40"/>
  <c r="AW40"/>
  <c r="AD41"/>
  <c r="AI41" s="1"/>
  <c r="AH41"/>
  <c r="AW41"/>
  <c r="AD42"/>
  <c r="AI42" s="1"/>
  <c r="AH42"/>
  <c r="AW42"/>
  <c r="AD43"/>
  <c r="AI43" s="1"/>
  <c r="AH43"/>
  <c r="AW43"/>
  <c r="AD44"/>
  <c r="AI44" s="1"/>
  <c r="AH44"/>
  <c r="AW44"/>
  <c r="AD45"/>
  <c r="AI45" s="1"/>
  <c r="AH45"/>
  <c r="AW45"/>
  <c r="AD46"/>
  <c r="AI46" s="1"/>
  <c r="AH46"/>
  <c r="AW46"/>
  <c r="AD47"/>
  <c r="AI47" s="1"/>
  <c r="AH47"/>
  <c r="AW47"/>
  <c r="AD48"/>
  <c r="AI48" s="1"/>
  <c r="AH48"/>
  <c r="AW48"/>
  <c r="AD49"/>
  <c r="AI49" s="1"/>
  <c r="AH49"/>
  <c r="AW49"/>
  <c r="AD50"/>
  <c r="AI50" s="1"/>
  <c r="AH50"/>
  <c r="AW50"/>
  <c r="AD51"/>
  <c r="AI51" s="1"/>
  <c r="AH51"/>
  <c r="AW51"/>
  <c r="AD52"/>
  <c r="AI52" s="1"/>
  <c r="AH52"/>
  <c r="AW52"/>
  <c r="AD53"/>
  <c r="AI53" s="1"/>
  <c r="AH53"/>
  <c r="AW53"/>
  <c r="U4" i="10"/>
  <c r="AF4"/>
  <c r="AU4"/>
  <c r="U5"/>
  <c r="AF5"/>
  <c r="AU5"/>
  <c r="U6"/>
  <c r="AF6"/>
  <c r="AU6"/>
  <c r="AF7"/>
  <c r="AU7"/>
  <c r="U8"/>
  <c r="AF8"/>
  <c r="AU8"/>
  <c r="U9"/>
  <c r="AF9"/>
  <c r="AU9"/>
  <c r="U10"/>
  <c r="AF10"/>
  <c r="AU10"/>
  <c r="U11"/>
  <c r="AF11"/>
  <c r="AU11"/>
  <c r="U12"/>
  <c r="AF12"/>
  <c r="AU12"/>
  <c r="U13"/>
  <c r="AF13"/>
  <c r="AU13"/>
  <c r="AF14"/>
  <c r="AU14"/>
  <c r="AF15"/>
  <c r="AU15"/>
  <c r="U16"/>
  <c r="AF16"/>
  <c r="AU16"/>
  <c r="AF17"/>
  <c r="AU17"/>
  <c r="U18"/>
  <c r="AF18"/>
  <c r="AU18"/>
  <c r="U19"/>
  <c r="AF19"/>
  <c r="AU19"/>
  <c r="AF20"/>
  <c r="AU20"/>
  <c r="U21"/>
  <c r="AF21"/>
  <c r="AU21"/>
  <c r="AF22"/>
  <c r="AU22"/>
  <c r="AF23"/>
  <c r="AU23"/>
  <c r="AF24"/>
  <c r="AU24"/>
  <c r="U25"/>
  <c r="AF25"/>
  <c r="AU25"/>
  <c r="AF26"/>
  <c r="AU26"/>
  <c r="AF27"/>
  <c r="AU27"/>
  <c r="U28"/>
  <c r="AF28"/>
  <c r="AU28"/>
  <c r="U29"/>
  <c r="AF29"/>
  <c r="AU29"/>
  <c r="U30"/>
  <c r="AF30"/>
  <c r="AU30"/>
  <c r="AF31"/>
  <c r="AU31"/>
  <c r="U32"/>
  <c r="AF32"/>
  <c r="AU32"/>
  <c r="U33"/>
  <c r="AF33"/>
  <c r="AU33"/>
  <c r="U34"/>
  <c r="AF34"/>
  <c r="AU34"/>
  <c r="AF35"/>
  <c r="AU35"/>
  <c r="AF36"/>
  <c r="AU36"/>
  <c r="U37"/>
  <c r="AF37"/>
  <c r="AU37"/>
  <c r="AF38"/>
  <c r="AU38"/>
  <c r="AF39"/>
  <c r="AU39"/>
  <c r="AF40"/>
  <c r="AU40"/>
  <c r="U41"/>
  <c r="AF41"/>
  <c r="AU41"/>
  <c r="U42"/>
  <c r="AF42"/>
  <c r="AU42"/>
  <c r="U43"/>
  <c r="AF43"/>
  <c r="AU43"/>
  <c r="U44"/>
  <c r="AF44"/>
  <c r="AU44"/>
  <c r="U45"/>
  <c r="AF45"/>
  <c r="AU45"/>
  <c r="U46"/>
  <c r="AF46"/>
  <c r="AU46"/>
  <c r="U47"/>
  <c r="AF47"/>
  <c r="AU47"/>
  <c r="U48"/>
  <c r="AF48"/>
  <c r="AX48"/>
  <c r="AD50"/>
  <c r="AI50" s="1"/>
  <c r="AT50"/>
  <c r="AH54"/>
  <c r="AX54"/>
  <c r="U56"/>
  <c r="AD57"/>
  <c r="AT57"/>
  <c r="AH59"/>
  <c r="AX59"/>
  <c r="AH60"/>
  <c r="AX60"/>
  <c r="AW11" i="11"/>
  <c r="AF16"/>
  <c r="AF18"/>
  <c r="AF27"/>
  <c r="AF34"/>
  <c r="AF36"/>
  <c r="AF43"/>
  <c r="AU49" i="10"/>
  <c r="AY49" s="1"/>
  <c r="AZ49" s="1"/>
  <c r="AF49"/>
  <c r="AI49" s="1"/>
  <c r="AJ49" s="1"/>
  <c r="AV49"/>
  <c r="AG49"/>
  <c r="AU55"/>
  <c r="AY55" s="1"/>
  <c r="AZ55" s="1"/>
  <c r="AF55"/>
  <c r="AI55" s="1"/>
  <c r="AJ55" s="1"/>
  <c r="AV55"/>
  <c r="AG55"/>
  <c r="AU56"/>
  <c r="AY56" s="1"/>
  <c r="AF56"/>
  <c r="AI56" s="1"/>
  <c r="AV56"/>
  <c r="AG56"/>
  <c r="W6" i="11"/>
  <c r="X6" s="1"/>
  <c r="W7"/>
  <c r="X7"/>
  <c r="V17"/>
  <c r="W17" s="1"/>
  <c r="X17" s="1"/>
  <c r="V35"/>
  <c r="W35" s="1"/>
  <c r="X35" s="1"/>
  <c r="V44"/>
  <c r="W44"/>
  <c r="X44" s="1"/>
  <c r="AG5" i="7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E4" i="10"/>
  <c r="AT4"/>
  <c r="AY4" s="1"/>
  <c r="AE5"/>
  <c r="AT5"/>
  <c r="AY5" s="1"/>
  <c r="AE6"/>
  <c r="AT6"/>
  <c r="AY6" s="1"/>
  <c r="AE7"/>
  <c r="AT7"/>
  <c r="AY7" s="1"/>
  <c r="AE8"/>
  <c r="AT8"/>
  <c r="AY8" s="1"/>
  <c r="AE9"/>
  <c r="AT9"/>
  <c r="AY9" s="1"/>
  <c r="AE10"/>
  <c r="AT10"/>
  <c r="AY10" s="1"/>
  <c r="AE11"/>
  <c r="AT11"/>
  <c r="AY11" s="1"/>
  <c r="AE12"/>
  <c r="AT12"/>
  <c r="AY12" s="1"/>
  <c r="AE13"/>
  <c r="AT13"/>
  <c r="AY13" s="1"/>
  <c r="AE14"/>
  <c r="AT14"/>
  <c r="AY14" s="1"/>
  <c r="AE15"/>
  <c r="AI15" s="1"/>
  <c r="AT15"/>
  <c r="AY15" s="1"/>
  <c r="AE16"/>
  <c r="AT16"/>
  <c r="AY16" s="1"/>
  <c r="AE17"/>
  <c r="AT17"/>
  <c r="AY17" s="1"/>
  <c r="AE18"/>
  <c r="AT18"/>
  <c r="AY18" s="1"/>
  <c r="AE19"/>
  <c r="AT19"/>
  <c r="AY19" s="1"/>
  <c r="AE20"/>
  <c r="AT20"/>
  <c r="AY20" s="1"/>
  <c r="AE21"/>
  <c r="AT21"/>
  <c r="AY21" s="1"/>
  <c r="AE22"/>
  <c r="AT22"/>
  <c r="AY22" s="1"/>
  <c r="AE23"/>
  <c r="AI23" s="1"/>
  <c r="AT23"/>
  <c r="AY23" s="1"/>
  <c r="AE24"/>
  <c r="AT24"/>
  <c r="AY24" s="1"/>
  <c r="AE25"/>
  <c r="AT25"/>
  <c r="AY25" s="1"/>
  <c r="AE26"/>
  <c r="AT26"/>
  <c r="AY26" s="1"/>
  <c r="AE27"/>
  <c r="AT27"/>
  <c r="AY27" s="1"/>
  <c r="AE28"/>
  <c r="AT28"/>
  <c r="AY28" s="1"/>
  <c r="AE29"/>
  <c r="AT29"/>
  <c r="AY29" s="1"/>
  <c r="AE30"/>
  <c r="AT30"/>
  <c r="AY30" s="1"/>
  <c r="AE31"/>
  <c r="AT31"/>
  <c r="AY31" s="1"/>
  <c r="AE32"/>
  <c r="AT32"/>
  <c r="AY32" s="1"/>
  <c r="AE33"/>
  <c r="AT33"/>
  <c r="AY33" s="1"/>
  <c r="AE34"/>
  <c r="AT34"/>
  <c r="AY34" s="1"/>
  <c r="AE35"/>
  <c r="AI35" s="1"/>
  <c r="AT35"/>
  <c r="AY35" s="1"/>
  <c r="AE36"/>
  <c r="AT36"/>
  <c r="AY36" s="1"/>
  <c r="AE37"/>
  <c r="AT37"/>
  <c r="AY37" s="1"/>
  <c r="AE38"/>
  <c r="AT38"/>
  <c r="AY38" s="1"/>
  <c r="AE39"/>
  <c r="AI39" s="1"/>
  <c r="AT39"/>
  <c r="AY39" s="1"/>
  <c r="AE40"/>
  <c r="AT40"/>
  <c r="AY40" s="1"/>
  <c r="AE41"/>
  <c r="AT41"/>
  <c r="AY41" s="1"/>
  <c r="AE42"/>
  <c r="AT42"/>
  <c r="AY42" s="1"/>
  <c r="AE43"/>
  <c r="AT43"/>
  <c r="AY43" s="1"/>
  <c r="AE44"/>
  <c r="AT44"/>
  <c r="AY44" s="1"/>
  <c r="AE45"/>
  <c r="AT45"/>
  <c r="AY45" s="1"/>
  <c r="AE46"/>
  <c r="AT46"/>
  <c r="AY46" s="1"/>
  <c r="AE47"/>
  <c r="AI47" s="1"/>
  <c r="AT47"/>
  <c r="AY47" s="1"/>
  <c r="AE48"/>
  <c r="AW48"/>
  <c r="AH49"/>
  <c r="AX49"/>
  <c r="U50"/>
  <c r="AY50"/>
  <c r="AE54"/>
  <c r="AW54"/>
  <c r="AH55"/>
  <c r="AX55"/>
  <c r="AH56"/>
  <c r="AX56"/>
  <c r="U57"/>
  <c r="AY57"/>
  <c r="V8" i="11"/>
  <c r="W8" s="1"/>
  <c r="X8" s="1"/>
  <c r="V9"/>
  <c r="W9" s="1"/>
  <c r="X9" s="1"/>
  <c r="V10"/>
  <c r="W10" s="1"/>
  <c r="X10" s="1"/>
  <c r="V11"/>
  <c r="W11" s="1"/>
  <c r="X11" s="1"/>
  <c r="AE4"/>
  <c r="AT4"/>
  <c r="AY4" s="1"/>
  <c r="AX4"/>
  <c r="BA4" s="1"/>
  <c r="BB4" s="1"/>
  <c r="BD4" s="1"/>
  <c r="AE5"/>
  <c r="AT5"/>
  <c r="AY5" s="1"/>
  <c r="AX5"/>
  <c r="BA5" s="1"/>
  <c r="BB5" s="1"/>
  <c r="AE6"/>
  <c r="AT6"/>
  <c r="AY6" s="1"/>
  <c r="AX6"/>
  <c r="BA6" s="1"/>
  <c r="BB6" s="1"/>
  <c r="BD6" s="1"/>
  <c r="AE7"/>
  <c r="AT7"/>
  <c r="AY7" s="1"/>
  <c r="AX7"/>
  <c r="AE8"/>
  <c r="AT8"/>
  <c r="AY8" s="1"/>
  <c r="AX8"/>
  <c r="AE9"/>
  <c r="AT9"/>
  <c r="AY9" s="1"/>
  <c r="AX9"/>
  <c r="BA9" s="1"/>
  <c r="BB9" s="1"/>
  <c r="BD9" s="1"/>
  <c r="AE10"/>
  <c r="AT10"/>
  <c r="AY10" s="1"/>
  <c r="AX10"/>
  <c r="AE11"/>
  <c r="AT11"/>
  <c r="AY11" s="1"/>
  <c r="AX11"/>
  <c r="AE12"/>
  <c r="AT12"/>
  <c r="AY12" s="1"/>
  <c r="AX12"/>
  <c r="AE13"/>
  <c r="AT13"/>
  <c r="AY13" s="1"/>
  <c r="AX13"/>
  <c r="AE14"/>
  <c r="AT14"/>
  <c r="AX14"/>
  <c r="AE15"/>
  <c r="AT15"/>
  <c r="AY15" s="1"/>
  <c r="AX15"/>
  <c r="AE16"/>
  <c r="AT16"/>
  <c r="AY16" s="1"/>
  <c r="AX16"/>
  <c r="AE17"/>
  <c r="AT17"/>
  <c r="AX17"/>
  <c r="AE18"/>
  <c r="AT18"/>
  <c r="AX18"/>
  <c r="AE19"/>
  <c r="AT19"/>
  <c r="AY19" s="1"/>
  <c r="AX19"/>
  <c r="AE20"/>
  <c r="AT20"/>
  <c r="AY20" s="1"/>
  <c r="AX20"/>
  <c r="AE21"/>
  <c r="AT21"/>
  <c r="AX21"/>
  <c r="AE22"/>
  <c r="AT22"/>
  <c r="AX22"/>
  <c r="AE23"/>
  <c r="AT23"/>
  <c r="AY23" s="1"/>
  <c r="AX23"/>
  <c r="AE24"/>
  <c r="AT24"/>
  <c r="AY24" s="1"/>
  <c r="AX24"/>
  <c r="AE25"/>
  <c r="AT25"/>
  <c r="AX25"/>
  <c r="AE26"/>
  <c r="AT26"/>
  <c r="AX26"/>
  <c r="AE27"/>
  <c r="AT27"/>
  <c r="AY27" s="1"/>
  <c r="AX27"/>
  <c r="AE28"/>
  <c r="AT28"/>
  <c r="AY28" s="1"/>
  <c r="AX28"/>
  <c r="AE29"/>
  <c r="AT29"/>
  <c r="AX29"/>
  <c r="AE30"/>
  <c r="AT30"/>
  <c r="AX30"/>
  <c r="AE31"/>
  <c r="AT31"/>
  <c r="AY31" s="1"/>
  <c r="AX31"/>
  <c r="AE32"/>
  <c r="AT32"/>
  <c r="AY32" s="1"/>
  <c r="AX32"/>
  <c r="AE33"/>
  <c r="AT33"/>
  <c r="AX33"/>
  <c r="AE34"/>
  <c r="AT34"/>
  <c r="AX34"/>
  <c r="AE35"/>
  <c r="AT35"/>
  <c r="AY35" s="1"/>
  <c r="AX35"/>
  <c r="AE36"/>
  <c r="AT36"/>
  <c r="AY36" s="1"/>
  <c r="AX36"/>
  <c r="AE37"/>
  <c r="AT37"/>
  <c r="AX37"/>
  <c r="AE38"/>
  <c r="AT38"/>
  <c r="AX38"/>
  <c r="AE39"/>
  <c r="AT39"/>
  <c r="AY39" s="1"/>
  <c r="AX39"/>
  <c r="AE40"/>
  <c r="AT40"/>
  <c r="AY40" s="1"/>
  <c r="AX40"/>
  <c r="AE41"/>
  <c r="AT41"/>
  <c r="AX41"/>
  <c r="AE42"/>
  <c r="AT42"/>
  <c r="AX42"/>
  <c r="AE43"/>
  <c r="AI43" s="1"/>
  <c r="AT43"/>
  <c r="AY43" s="1"/>
  <c r="AX43"/>
  <c r="AE44"/>
  <c r="AT44"/>
  <c r="AY44" s="1"/>
  <c r="AX44"/>
  <c r="AE45"/>
  <c r="AT45"/>
  <c r="AX45"/>
  <c r="AE46"/>
  <c r="AT46"/>
  <c r="AX46"/>
  <c r="AE47"/>
  <c r="AT47"/>
  <c r="AY47" s="1"/>
  <c r="AX47"/>
  <c r="AE48"/>
  <c r="AT48"/>
  <c r="AY48" s="1"/>
  <c r="AX48"/>
  <c r="AE49"/>
  <c r="AT49"/>
  <c r="AX49"/>
  <c r="AE50"/>
  <c r="AT50"/>
  <c r="AX50"/>
  <c r="AD4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I12" s="1"/>
  <c r="AH12"/>
  <c r="AD13"/>
  <c r="AI13" s="1"/>
  <c r="AH13"/>
  <c r="AD14"/>
  <c r="AI14" s="1"/>
  <c r="AH14"/>
  <c r="AD15"/>
  <c r="AI15" s="1"/>
  <c r="AH15"/>
  <c r="AD16"/>
  <c r="AI16" s="1"/>
  <c r="AH16"/>
  <c r="AD17"/>
  <c r="AI17" s="1"/>
  <c r="AH17"/>
  <c r="AD18"/>
  <c r="AI18" s="1"/>
  <c r="AH18"/>
  <c r="AD19"/>
  <c r="AI19" s="1"/>
  <c r="AH19"/>
  <c r="AD20"/>
  <c r="AI20" s="1"/>
  <c r="AH20"/>
  <c r="AD21"/>
  <c r="AI21" s="1"/>
  <c r="AH21"/>
  <c r="AD22"/>
  <c r="AI22" s="1"/>
  <c r="AH22"/>
  <c r="AD23"/>
  <c r="AI23" s="1"/>
  <c r="AH23"/>
  <c r="AD24"/>
  <c r="AI24" s="1"/>
  <c r="AH24"/>
  <c r="AD25"/>
  <c r="AI25" s="1"/>
  <c r="AH25"/>
  <c r="AD26"/>
  <c r="AI26" s="1"/>
  <c r="AH26"/>
  <c r="AD27"/>
  <c r="AI27" s="1"/>
  <c r="AH27"/>
  <c r="AD28"/>
  <c r="AI28" s="1"/>
  <c r="AH28"/>
  <c r="AD29"/>
  <c r="AI29" s="1"/>
  <c r="AH29"/>
  <c r="AD30"/>
  <c r="AI30" s="1"/>
  <c r="AH30"/>
  <c r="AD31"/>
  <c r="AI31" s="1"/>
  <c r="AH31"/>
  <c r="AD32"/>
  <c r="AI32" s="1"/>
  <c r="AH32"/>
  <c r="AD33"/>
  <c r="AI33" s="1"/>
  <c r="AH33"/>
  <c r="AD34"/>
  <c r="AI34" s="1"/>
  <c r="AH34"/>
  <c r="AD35"/>
  <c r="AI35" s="1"/>
  <c r="AH35"/>
  <c r="AD36"/>
  <c r="AI36" s="1"/>
  <c r="AH36"/>
  <c r="AD37"/>
  <c r="AI37" s="1"/>
  <c r="AH37"/>
  <c r="AD38"/>
  <c r="AI38" s="1"/>
  <c r="AH38"/>
  <c r="AD39"/>
  <c r="AI39" s="1"/>
  <c r="AH39"/>
  <c r="AD40"/>
  <c r="AI40" s="1"/>
  <c r="AH40"/>
  <c r="AD41"/>
  <c r="AI41" s="1"/>
  <c r="AH41"/>
  <c r="AD42"/>
  <c r="AI42" s="1"/>
  <c r="AH42"/>
  <c r="AD43"/>
  <c r="AH43"/>
  <c r="AD44"/>
  <c r="AI44" s="1"/>
  <c r="AH44"/>
  <c r="AD45"/>
  <c r="AI45" s="1"/>
  <c r="AH45"/>
  <c r="AD46"/>
  <c r="AI46" s="1"/>
  <c r="AH46"/>
  <c r="AD47"/>
  <c r="AI47" s="1"/>
  <c r="AH47"/>
  <c r="AD48"/>
  <c r="AI48" s="1"/>
  <c r="AH48"/>
  <c r="AD49"/>
  <c r="AI49" s="1"/>
  <c r="AH49"/>
  <c r="AD50"/>
  <c r="AI50" s="1"/>
  <c r="AH50"/>
  <c r="V4" i="13"/>
  <c r="W4" s="1"/>
  <c r="X4" s="1"/>
  <c r="V5"/>
  <c r="W5" s="1"/>
  <c r="X5" s="1"/>
  <c r="V6"/>
  <c r="W6"/>
  <c r="X6" s="1"/>
  <c r="V7"/>
  <c r="W7"/>
  <c r="X7"/>
  <c r="V8"/>
  <c r="W8" s="1"/>
  <c r="X8" s="1"/>
  <c r="V9"/>
  <c r="W9" s="1"/>
  <c r="X9" s="1"/>
  <c r="V12"/>
  <c r="W12"/>
  <c r="X12" s="1"/>
  <c r="V13"/>
  <c r="W13"/>
  <c r="X13"/>
  <c r="V14"/>
  <c r="W14" s="1"/>
  <c r="X14" s="1"/>
  <c r="V15"/>
  <c r="W15" s="1"/>
  <c r="X15" s="1"/>
  <c r="V17"/>
  <c r="W17"/>
  <c r="X17" s="1"/>
  <c r="V18"/>
  <c r="W18"/>
  <c r="X18"/>
  <c r="V20"/>
  <c r="W20" s="1"/>
  <c r="X20" s="1"/>
  <c r="V21"/>
  <c r="W21" s="1"/>
  <c r="X21" s="1"/>
  <c r="V22"/>
  <c r="W22"/>
  <c r="X22"/>
  <c r="V25"/>
  <c r="W25"/>
  <c r="X25"/>
  <c r="V26"/>
  <c r="W26"/>
  <c r="X26"/>
  <c r="V27"/>
  <c r="W27" s="1"/>
  <c r="X27" s="1"/>
  <c r="V28"/>
  <c r="W28"/>
  <c r="X28" s="1"/>
  <c r="V29"/>
  <c r="W29"/>
  <c r="X29"/>
  <c r="V30"/>
  <c r="W30"/>
  <c r="X30"/>
  <c r="V31"/>
  <c r="W31"/>
  <c r="X31"/>
  <c r="V32"/>
  <c r="W32"/>
  <c r="X32"/>
  <c r="V33"/>
  <c r="W33"/>
  <c r="X33"/>
  <c r="V34"/>
  <c r="W34"/>
  <c r="X34"/>
  <c r="V35"/>
  <c r="W35" s="1"/>
  <c r="X35" s="1"/>
  <c r="V36"/>
  <c r="W36"/>
  <c r="X36" s="1"/>
  <c r="V37"/>
  <c r="W37"/>
  <c r="X37"/>
  <c r="V38"/>
  <c r="W38" s="1"/>
  <c r="X38" s="1"/>
  <c r="V39"/>
  <c r="W39" s="1"/>
  <c r="X39" s="1"/>
  <c r="V40"/>
  <c r="W40"/>
  <c r="X40" s="1"/>
  <c r="V41"/>
  <c r="W41"/>
  <c r="X41"/>
  <c r="V42"/>
  <c r="W42" s="1"/>
  <c r="X42" s="1"/>
  <c r="V43"/>
  <c r="W43" s="1"/>
  <c r="X43" s="1"/>
  <c r="W9" i="14"/>
  <c r="X9" s="1"/>
  <c r="AX12"/>
  <c r="AT12"/>
  <c r="AX13"/>
  <c r="AT13"/>
  <c r="AX14"/>
  <c r="AT14"/>
  <c r="AX15"/>
  <c r="AT15"/>
  <c r="AY15" s="1"/>
  <c r="AX17"/>
  <c r="AT17"/>
  <c r="AU17"/>
  <c r="AY17" s="1"/>
  <c r="AX23"/>
  <c r="AT23"/>
  <c r="AU23"/>
  <c r="AY23" s="1"/>
  <c r="AZ23" s="1"/>
  <c r="AX27"/>
  <c r="AT27"/>
  <c r="AU27"/>
  <c r="AY27" s="1"/>
  <c r="AT29"/>
  <c r="AU29"/>
  <c r="AY29" s="1"/>
  <c r="AE4" i="13"/>
  <c r="AT4"/>
  <c r="AY4" s="1"/>
  <c r="AX4"/>
  <c r="BA4" s="1"/>
  <c r="BB4" s="1"/>
  <c r="BD4" s="1"/>
  <c r="AE5"/>
  <c r="AT5"/>
  <c r="AX5"/>
  <c r="AE6"/>
  <c r="AT6"/>
  <c r="AX6"/>
  <c r="AE7"/>
  <c r="AT7"/>
  <c r="AY7" s="1"/>
  <c r="AX7"/>
  <c r="AE8"/>
  <c r="AT8"/>
  <c r="AY8" s="1"/>
  <c r="AX8"/>
  <c r="AE9"/>
  <c r="AT9"/>
  <c r="AX9"/>
  <c r="AE10"/>
  <c r="AT10"/>
  <c r="AX10"/>
  <c r="AE11"/>
  <c r="AT11"/>
  <c r="AY11" s="1"/>
  <c r="AX11"/>
  <c r="AE12"/>
  <c r="AT12"/>
  <c r="AY12" s="1"/>
  <c r="AX12"/>
  <c r="AE13"/>
  <c r="AT13"/>
  <c r="AX13"/>
  <c r="BA13" s="1"/>
  <c r="BB13" s="1"/>
  <c r="BD13" s="1"/>
  <c r="AE14"/>
  <c r="AT14"/>
  <c r="AX14"/>
  <c r="AE15"/>
  <c r="AT15"/>
  <c r="AY15" s="1"/>
  <c r="AX15"/>
  <c r="AE16"/>
  <c r="AT16"/>
  <c r="AY16" s="1"/>
  <c r="AX16"/>
  <c r="AE17"/>
  <c r="AT17"/>
  <c r="AX17"/>
  <c r="AE18"/>
  <c r="AT18"/>
  <c r="AX18"/>
  <c r="AE19"/>
  <c r="AT19"/>
  <c r="AY19" s="1"/>
  <c r="AX19"/>
  <c r="AE20"/>
  <c r="AT20"/>
  <c r="AY20" s="1"/>
  <c r="AX20"/>
  <c r="AE21"/>
  <c r="AT21"/>
  <c r="AX21"/>
  <c r="AE22"/>
  <c r="AT22"/>
  <c r="AX22"/>
  <c r="AE23"/>
  <c r="AT23"/>
  <c r="AY23" s="1"/>
  <c r="AX23"/>
  <c r="AE24"/>
  <c r="AT24"/>
  <c r="AY24" s="1"/>
  <c r="AX24"/>
  <c r="AE25"/>
  <c r="AT25"/>
  <c r="AX25"/>
  <c r="AE26"/>
  <c r="AT26"/>
  <c r="AX26"/>
  <c r="AE27"/>
  <c r="AT27"/>
  <c r="AY27" s="1"/>
  <c r="AX27"/>
  <c r="AE28"/>
  <c r="AT28"/>
  <c r="AY28" s="1"/>
  <c r="AX28"/>
  <c r="AE29"/>
  <c r="AT29"/>
  <c r="AX29"/>
  <c r="AE30"/>
  <c r="AT30"/>
  <c r="AX30"/>
  <c r="AE31"/>
  <c r="AT31"/>
  <c r="AY31" s="1"/>
  <c r="AX31"/>
  <c r="AE32"/>
  <c r="AT32"/>
  <c r="AY32" s="1"/>
  <c r="AX32"/>
  <c r="AE33"/>
  <c r="AT33"/>
  <c r="AX33"/>
  <c r="AE34"/>
  <c r="AT34"/>
  <c r="AX34"/>
  <c r="AE35"/>
  <c r="AT35"/>
  <c r="AY35" s="1"/>
  <c r="AX35"/>
  <c r="AE36"/>
  <c r="AT36"/>
  <c r="AY36" s="1"/>
  <c r="AX36"/>
  <c r="AE37"/>
  <c r="AT37"/>
  <c r="AY37" s="1"/>
  <c r="AX37"/>
  <c r="AE38"/>
  <c r="AT38"/>
  <c r="AY38" s="1"/>
  <c r="AX38"/>
  <c r="AE39"/>
  <c r="AT39"/>
  <c r="AY39" s="1"/>
  <c r="AX39"/>
  <c r="AE40"/>
  <c r="AT40"/>
  <c r="AY40" s="1"/>
  <c r="AX40"/>
  <c r="AE41"/>
  <c r="AT41"/>
  <c r="AY41" s="1"/>
  <c r="AX41"/>
  <c r="AE42"/>
  <c r="AT42"/>
  <c r="AY42" s="1"/>
  <c r="AX42"/>
  <c r="AE43"/>
  <c r="AT43"/>
  <c r="AY43" s="1"/>
  <c r="AX43"/>
  <c r="AG4" i="14"/>
  <c r="AD5"/>
  <c r="AU6"/>
  <c r="AF7"/>
  <c r="AU7"/>
  <c r="AF8"/>
  <c r="AU8"/>
  <c r="AF9"/>
  <c r="BD9"/>
  <c r="AG10"/>
  <c r="AG11"/>
  <c r="AG12"/>
  <c r="AY13"/>
  <c r="AY14"/>
  <c r="AW16"/>
  <c r="X24"/>
  <c r="X10"/>
  <c r="W10"/>
  <c r="W11"/>
  <c r="X11" s="1"/>
  <c r="X12"/>
  <c r="W12"/>
  <c r="AX16"/>
  <c r="AT16"/>
  <c r="AX18"/>
  <c r="AT18"/>
  <c r="AU18"/>
  <c r="AY18" s="1"/>
  <c r="AX20"/>
  <c r="AT20"/>
  <c r="AU20"/>
  <c r="AY20" s="1"/>
  <c r="AX24"/>
  <c r="AT24"/>
  <c r="AU24"/>
  <c r="AY24" s="1"/>
  <c r="AD4" i="13"/>
  <c r="AH4"/>
  <c r="AW4"/>
  <c r="AD5"/>
  <c r="AI5" s="1"/>
  <c r="AH5"/>
  <c r="AW5"/>
  <c r="AD6"/>
  <c r="AI6" s="1"/>
  <c r="AH6"/>
  <c r="AW6"/>
  <c r="AD7"/>
  <c r="AI7" s="1"/>
  <c r="AH7"/>
  <c r="AW7"/>
  <c r="AD8"/>
  <c r="AH8"/>
  <c r="AW8"/>
  <c r="AD9"/>
  <c r="AI9" s="1"/>
  <c r="AH9"/>
  <c r="AW9"/>
  <c r="AD10"/>
  <c r="AI10" s="1"/>
  <c r="AH10"/>
  <c r="AW10"/>
  <c r="AD11"/>
  <c r="AI11" s="1"/>
  <c r="AH11"/>
  <c r="AW11"/>
  <c r="AD12"/>
  <c r="AH12"/>
  <c r="AW12"/>
  <c r="AD13"/>
  <c r="AI13" s="1"/>
  <c r="AH13"/>
  <c r="AW13"/>
  <c r="AD14"/>
  <c r="AI14" s="1"/>
  <c r="AH14"/>
  <c r="AW14"/>
  <c r="AD15"/>
  <c r="AI15" s="1"/>
  <c r="AH15"/>
  <c r="AW15"/>
  <c r="AD16"/>
  <c r="AH16"/>
  <c r="AW16"/>
  <c r="AD17"/>
  <c r="AI17" s="1"/>
  <c r="AH17"/>
  <c r="AW17"/>
  <c r="AD18"/>
  <c r="AI18" s="1"/>
  <c r="AH18"/>
  <c r="AW18"/>
  <c r="AD19"/>
  <c r="AI19" s="1"/>
  <c r="AH19"/>
  <c r="AW19"/>
  <c r="AD20"/>
  <c r="AH20"/>
  <c r="AW20"/>
  <c r="AD21"/>
  <c r="AI21" s="1"/>
  <c r="AH21"/>
  <c r="AW21"/>
  <c r="AD22"/>
  <c r="AI22" s="1"/>
  <c r="AH22"/>
  <c r="AW22"/>
  <c r="AD23"/>
  <c r="AI23" s="1"/>
  <c r="AH23"/>
  <c r="AW23"/>
  <c r="AD24"/>
  <c r="AH24"/>
  <c r="AW24"/>
  <c r="AD25"/>
  <c r="AI25" s="1"/>
  <c r="AH25"/>
  <c r="AW25"/>
  <c r="AD26"/>
  <c r="AI26" s="1"/>
  <c r="AH26"/>
  <c r="AW26"/>
  <c r="AD27"/>
  <c r="AI27" s="1"/>
  <c r="AH27"/>
  <c r="AW27"/>
  <c r="AD28"/>
  <c r="AH28"/>
  <c r="AW28"/>
  <c r="AD29"/>
  <c r="AI29" s="1"/>
  <c r="AH29"/>
  <c r="AW29"/>
  <c r="AD30"/>
  <c r="AI30" s="1"/>
  <c r="AH30"/>
  <c r="AW30"/>
  <c r="AD31"/>
  <c r="AI31" s="1"/>
  <c r="AH31"/>
  <c r="AW31"/>
  <c r="AD32"/>
  <c r="AH32"/>
  <c r="AW32"/>
  <c r="AD33"/>
  <c r="AI33" s="1"/>
  <c r="AH33"/>
  <c r="AW33"/>
  <c r="AD34"/>
  <c r="AI34" s="1"/>
  <c r="AH34"/>
  <c r="AW34"/>
  <c r="AD35"/>
  <c r="AI35" s="1"/>
  <c r="AH35"/>
  <c r="AW35"/>
  <c r="AD36"/>
  <c r="AH36"/>
  <c r="AW36"/>
  <c r="AD37"/>
  <c r="AI37" s="1"/>
  <c r="AH37"/>
  <c r="AW37"/>
  <c r="AD38"/>
  <c r="AI38" s="1"/>
  <c r="AH38"/>
  <c r="AW38"/>
  <c r="AD39"/>
  <c r="AI39" s="1"/>
  <c r="AH39"/>
  <c r="AW39"/>
  <c r="AD40"/>
  <c r="AI40" s="1"/>
  <c r="AH40"/>
  <c r="AW40"/>
  <c r="AD41"/>
  <c r="AI41" s="1"/>
  <c r="AH41"/>
  <c r="AW41"/>
  <c r="AD42"/>
  <c r="AI42" s="1"/>
  <c r="AH42"/>
  <c r="AW42"/>
  <c r="AD43"/>
  <c r="AI43" s="1"/>
  <c r="AH43"/>
  <c r="AW43"/>
  <c r="U4" i="14"/>
  <c r="AU4"/>
  <c r="X5"/>
  <c r="AH5"/>
  <c r="AX6"/>
  <c r="AY16"/>
  <c r="X21"/>
  <c r="AE27"/>
  <c r="AE29"/>
  <c r="W13"/>
  <c r="X13" s="1"/>
  <c r="X14"/>
  <c r="W14"/>
  <c r="W15"/>
  <c r="X15" s="1"/>
  <c r="X16"/>
  <c r="W16"/>
  <c r="AX21"/>
  <c r="AT21"/>
  <c r="AU21"/>
  <c r="AX26"/>
  <c r="AT26"/>
  <c r="AY26"/>
  <c r="AU26"/>
  <c r="AX28"/>
  <c r="AT28"/>
  <c r="AY28"/>
  <c r="AU28"/>
  <c r="AG4" i="13"/>
  <c r="AV4"/>
  <c r="AG5"/>
  <c r="AV5"/>
  <c r="AY5" s="1"/>
  <c r="AG6"/>
  <c r="AV6"/>
  <c r="AY6" s="1"/>
  <c r="AG7"/>
  <c r="AV7"/>
  <c r="AG8"/>
  <c r="AV8"/>
  <c r="AG9"/>
  <c r="AV9"/>
  <c r="AY9" s="1"/>
  <c r="AG10"/>
  <c r="AV10"/>
  <c r="AY10" s="1"/>
  <c r="AG11"/>
  <c r="AV11"/>
  <c r="AG12"/>
  <c r="AV12"/>
  <c r="AG13"/>
  <c r="AV13"/>
  <c r="AY13" s="1"/>
  <c r="AG14"/>
  <c r="AV14"/>
  <c r="AY14" s="1"/>
  <c r="AG15"/>
  <c r="AV15"/>
  <c r="AG16"/>
  <c r="AV16"/>
  <c r="AG17"/>
  <c r="AV17"/>
  <c r="AY17" s="1"/>
  <c r="AG18"/>
  <c r="AV18"/>
  <c r="AY18" s="1"/>
  <c r="AG19"/>
  <c r="AV19"/>
  <c r="AG20"/>
  <c r="AV20"/>
  <c r="AG21"/>
  <c r="AV21"/>
  <c r="AY21" s="1"/>
  <c r="AG22"/>
  <c r="AV22"/>
  <c r="AY22" s="1"/>
  <c r="AG23"/>
  <c r="AV23"/>
  <c r="AG24"/>
  <c r="AV24"/>
  <c r="AG25"/>
  <c r="AV25"/>
  <c r="AY25" s="1"/>
  <c r="AG26"/>
  <c r="AV26"/>
  <c r="AY26" s="1"/>
  <c r="AG27"/>
  <c r="AV27"/>
  <c r="AG28"/>
  <c r="AV28"/>
  <c r="AG29"/>
  <c r="AV29"/>
  <c r="AY29" s="1"/>
  <c r="AG30"/>
  <c r="AV30"/>
  <c r="AY30" s="1"/>
  <c r="AG31"/>
  <c r="AV31"/>
  <c r="AG32"/>
  <c r="AV32"/>
  <c r="AG33"/>
  <c r="AV33"/>
  <c r="AY33" s="1"/>
  <c r="AG34"/>
  <c r="AV34"/>
  <c r="AY34" s="1"/>
  <c r="AG35"/>
  <c r="AV35"/>
  <c r="AG36"/>
  <c r="AV36"/>
  <c r="AV37"/>
  <c r="AV38"/>
  <c r="AV39"/>
  <c r="AE4" i="14"/>
  <c r="AT4"/>
  <c r="AY4" s="1"/>
  <c r="AX5"/>
  <c r="BA5" s="1"/>
  <c r="BB5" s="1"/>
  <c r="AT5"/>
  <c r="AY5" s="1"/>
  <c r="AE5"/>
  <c r="AI5" s="1"/>
  <c r="AW5"/>
  <c r="W6"/>
  <c r="X6" s="1"/>
  <c r="X17"/>
  <c r="W17"/>
  <c r="AX19"/>
  <c r="AT19"/>
  <c r="AY19"/>
  <c r="AU19"/>
  <c r="AX22"/>
  <c r="AT22"/>
  <c r="AY22"/>
  <c r="AZ22" s="1"/>
  <c r="AU22"/>
  <c r="AX25"/>
  <c r="AT25"/>
  <c r="AY25"/>
  <c r="AU25"/>
  <c r="V30"/>
  <c r="W30"/>
  <c r="X30" s="1"/>
  <c r="AF4" i="13"/>
  <c r="AI4" s="1"/>
  <c r="AF5"/>
  <c r="AF6"/>
  <c r="AF7"/>
  <c r="AF8"/>
  <c r="AI8" s="1"/>
  <c r="AF9"/>
  <c r="U10"/>
  <c r="AF10"/>
  <c r="U11"/>
  <c r="AF11"/>
  <c r="AF12"/>
  <c r="AI12" s="1"/>
  <c r="AF13"/>
  <c r="AF14"/>
  <c r="AF15"/>
  <c r="U16"/>
  <c r="AF16"/>
  <c r="AI16" s="1"/>
  <c r="AF17"/>
  <c r="AF18"/>
  <c r="U19"/>
  <c r="AF19"/>
  <c r="AF20"/>
  <c r="AI20" s="1"/>
  <c r="AF21"/>
  <c r="AF22"/>
  <c r="U23"/>
  <c r="AF23"/>
  <c r="U24"/>
  <c r="AF24"/>
  <c r="AI24" s="1"/>
  <c r="AF25"/>
  <c r="AF26"/>
  <c r="AF27"/>
  <c r="AF28"/>
  <c r="AI28" s="1"/>
  <c r="AF29"/>
  <c r="AF30"/>
  <c r="AF31"/>
  <c r="AF32"/>
  <c r="AI32" s="1"/>
  <c r="AF33"/>
  <c r="AF34"/>
  <c r="AF35"/>
  <c r="AF36"/>
  <c r="AI36" s="1"/>
  <c r="AF37"/>
  <c r="AF38"/>
  <c r="AF39"/>
  <c r="AF40"/>
  <c r="AF41"/>
  <c r="AF42"/>
  <c r="AF43"/>
  <c r="AD4" i="14"/>
  <c r="AH4"/>
  <c r="W5"/>
  <c r="AF5"/>
  <c r="AU5"/>
  <c r="V7"/>
  <c r="W7" s="1"/>
  <c r="X7" s="1"/>
  <c r="V8"/>
  <c r="W8" s="1"/>
  <c r="X8" s="1"/>
  <c r="V9"/>
  <c r="AE11"/>
  <c r="AW12"/>
  <c r="AY12" s="1"/>
  <c r="AE12"/>
  <c r="AU16"/>
  <c r="AG17"/>
  <c r="AV18"/>
  <c r="AE19"/>
  <c r="AV20"/>
  <c r="AW21"/>
  <c r="AY21" s="1"/>
  <c r="AE21"/>
  <c r="AG23"/>
  <c r="AV24"/>
  <c r="AE25"/>
  <c r="AG27"/>
  <c r="X29"/>
  <c r="AG29"/>
  <c r="AD6"/>
  <c r="AH6"/>
  <c r="AW6"/>
  <c r="AD7"/>
  <c r="AH7"/>
  <c r="AW7"/>
  <c r="AY7" s="1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D13"/>
  <c r="AI13" s="1"/>
  <c r="AH13"/>
  <c r="AD14"/>
  <c r="AI14" s="1"/>
  <c r="AH14"/>
  <c r="AD15"/>
  <c r="AH15"/>
  <c r="AI15" s="1"/>
  <c r="AD16"/>
  <c r="AI16" s="1"/>
  <c r="AH16"/>
  <c r="AD17"/>
  <c r="AH17"/>
  <c r="W18"/>
  <c r="X18" s="1"/>
  <c r="AD18"/>
  <c r="AH18"/>
  <c r="W19"/>
  <c r="X19" s="1"/>
  <c r="AD19"/>
  <c r="AI19" s="1"/>
  <c r="AH19"/>
  <c r="W20"/>
  <c r="X20" s="1"/>
  <c r="AD20"/>
  <c r="AI20" s="1"/>
  <c r="AH20"/>
  <c r="W21"/>
  <c r="AD21"/>
  <c r="AI21" s="1"/>
  <c r="AH21"/>
  <c r="W22"/>
  <c r="AD22"/>
  <c r="AI22" s="1"/>
  <c r="AJ22" s="1"/>
  <c r="AH22"/>
  <c r="W23"/>
  <c r="AD23"/>
  <c r="AI23" s="1"/>
  <c r="AJ23" s="1"/>
  <c r="AH23"/>
  <c r="W24"/>
  <c r="AD24"/>
  <c r="AI24" s="1"/>
  <c r="AH24"/>
  <c r="W25"/>
  <c r="X25" s="1"/>
  <c r="AD25"/>
  <c r="AH25"/>
  <c r="W26"/>
  <c r="X26" s="1"/>
  <c r="AD26"/>
  <c r="AI26" s="1"/>
  <c r="AH26"/>
  <c r="W27"/>
  <c r="X27" s="1"/>
  <c r="AD27"/>
  <c r="AI27" s="1"/>
  <c r="AH27"/>
  <c r="W28"/>
  <c r="X28" s="1"/>
  <c r="AD28"/>
  <c r="AI28" s="1"/>
  <c r="AH28"/>
  <c r="AX29"/>
  <c r="W29"/>
  <c r="AD29"/>
  <c r="AI29" s="1"/>
  <c r="AH29"/>
  <c r="AW29"/>
  <c r="BC4" i="18"/>
  <c r="BD4"/>
  <c r="BC7"/>
  <c r="BD7" s="1"/>
  <c r="BC15"/>
  <c r="BD15"/>
  <c r="AX30" i="14"/>
  <c r="AT30"/>
  <c r="AE30"/>
  <c r="AV30"/>
  <c r="AG30"/>
  <c r="AF17"/>
  <c r="AI17" s="1"/>
  <c r="AF18"/>
  <c r="AI18" s="1"/>
  <c r="AF19"/>
  <c r="AF20"/>
  <c r="AF21"/>
  <c r="AF22"/>
  <c r="AF23"/>
  <c r="AF24"/>
  <c r="AF25"/>
  <c r="AF26"/>
  <c r="AF27"/>
  <c r="AF28"/>
  <c r="AF29"/>
  <c r="AF30"/>
  <c r="AW30"/>
  <c r="X28" i="18"/>
  <c r="BC5"/>
  <c r="BD5" s="1"/>
  <c r="AE6" i="14"/>
  <c r="AI6" s="1"/>
  <c r="AT6"/>
  <c r="AY6" s="1"/>
  <c r="AE7"/>
  <c r="AI7" s="1"/>
  <c r="AT7"/>
  <c r="AE8"/>
  <c r="AT8"/>
  <c r="AY8" s="1"/>
  <c r="AE9"/>
  <c r="AT9"/>
  <c r="AY9" s="1"/>
  <c r="AE10"/>
  <c r="AT10"/>
  <c r="AY10" s="1"/>
  <c r="AT11"/>
  <c r="AY11" s="1"/>
  <c r="AD30"/>
  <c r="AI30" s="1"/>
  <c r="AU30"/>
  <c r="W29" i="19"/>
  <c r="AU27" i="18"/>
  <c r="AF27"/>
  <c r="AU30"/>
  <c r="AF30"/>
  <c r="AV39"/>
  <c r="AG39"/>
  <c r="AU39"/>
  <c r="AF39"/>
  <c r="AV40"/>
  <c r="AG40"/>
  <c r="AU40"/>
  <c r="AF40"/>
  <c r="AV41"/>
  <c r="AG41"/>
  <c r="AU41"/>
  <c r="AF41"/>
  <c r="AV42"/>
  <c r="AG42"/>
  <c r="AU42"/>
  <c r="AF42"/>
  <c r="AV43"/>
  <c r="AG43"/>
  <c r="AU43"/>
  <c r="AF43"/>
  <c r="AV44"/>
  <c r="AG44"/>
  <c r="AU44"/>
  <c r="AF44"/>
  <c r="AX14" i="19"/>
  <c r="AT14"/>
  <c r="AE14"/>
  <c r="AU14"/>
  <c r="AF14"/>
  <c r="AV14"/>
  <c r="AG14"/>
  <c r="AH14"/>
  <c r="AD14"/>
  <c r="V15"/>
  <c r="W15" s="1"/>
  <c r="X15" s="1"/>
  <c r="AX18"/>
  <c r="BA18" s="1"/>
  <c r="BB18" s="1"/>
  <c r="BD18" s="1"/>
  <c r="AT18"/>
  <c r="AE18"/>
  <c r="AU18"/>
  <c r="AF18"/>
  <c r="AV18"/>
  <c r="AG18"/>
  <c r="AH18"/>
  <c r="AD18"/>
  <c r="AX23"/>
  <c r="AT23"/>
  <c r="AE23"/>
  <c r="AI23" s="1"/>
  <c r="AU23"/>
  <c r="AF23"/>
  <c r="U23"/>
  <c r="AV23"/>
  <c r="AG23"/>
  <c r="AH23"/>
  <c r="AD23"/>
  <c r="V24"/>
  <c r="W24" s="1"/>
  <c r="X24" s="1"/>
  <c r="AX27"/>
  <c r="AT27"/>
  <c r="AE27"/>
  <c r="AI27" s="1"/>
  <c r="AU27"/>
  <c r="AF27"/>
  <c r="U27"/>
  <c r="AV27"/>
  <c r="AG27"/>
  <c r="AH27"/>
  <c r="AD27"/>
  <c r="V28"/>
  <c r="W28" s="1"/>
  <c r="X28" s="1"/>
  <c r="AX30"/>
  <c r="AT30"/>
  <c r="AE30"/>
  <c r="AU30"/>
  <c r="AF30"/>
  <c r="U30"/>
  <c r="AV30"/>
  <c r="AG30"/>
  <c r="AH30"/>
  <c r="AD30"/>
  <c r="V31"/>
  <c r="AX34"/>
  <c r="AT34"/>
  <c r="AE34"/>
  <c r="AU34"/>
  <c r="AF34"/>
  <c r="AV34"/>
  <c r="AG34"/>
  <c r="AH34"/>
  <c r="AD34"/>
  <c r="AX38"/>
  <c r="AT38"/>
  <c r="AE38"/>
  <c r="AU38"/>
  <c r="AF38"/>
  <c r="U38"/>
  <c r="AV38"/>
  <c r="AG38"/>
  <c r="AH38"/>
  <c r="AD38"/>
  <c r="AI38" s="1"/>
  <c r="V39"/>
  <c r="AD4" i="18"/>
  <c r="AI4" s="1"/>
  <c r="AH4"/>
  <c r="AW4"/>
  <c r="AD5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I13" s="1"/>
  <c r="AH13"/>
  <c r="AW13"/>
  <c r="AD14"/>
  <c r="AI14" s="1"/>
  <c r="AH14"/>
  <c r="AW14"/>
  <c r="AD15"/>
  <c r="AI15" s="1"/>
  <c r="AH15"/>
  <c r="AW15"/>
  <c r="AD16"/>
  <c r="AH16"/>
  <c r="AW16"/>
  <c r="AD17"/>
  <c r="AH17"/>
  <c r="AW17"/>
  <c r="AD18"/>
  <c r="AI18" s="1"/>
  <c r="AH18"/>
  <c r="AW18"/>
  <c r="AD19"/>
  <c r="AI19" s="1"/>
  <c r="AH19"/>
  <c r="AW19"/>
  <c r="AD20"/>
  <c r="AH20"/>
  <c r="AW20"/>
  <c r="AD21"/>
  <c r="AH21"/>
  <c r="AW21"/>
  <c r="AD22"/>
  <c r="AI22" s="1"/>
  <c r="AH22"/>
  <c r="AW22"/>
  <c r="AD23"/>
  <c r="AI23" s="1"/>
  <c r="AH23"/>
  <c r="AW23"/>
  <c r="AD24"/>
  <c r="AH24"/>
  <c r="AW24"/>
  <c r="AD25"/>
  <c r="AH25"/>
  <c r="AW25"/>
  <c r="AD26"/>
  <c r="AI26" s="1"/>
  <c r="AH26"/>
  <c r="AW26"/>
  <c r="AE27"/>
  <c r="AX27"/>
  <c r="AW28"/>
  <c r="AE30"/>
  <c r="AX30"/>
  <c r="AH39"/>
  <c r="AX39"/>
  <c r="AH40"/>
  <c r="AX40"/>
  <c r="AH41"/>
  <c r="AX41"/>
  <c r="AH42"/>
  <c r="AX42"/>
  <c r="AH43"/>
  <c r="AX43"/>
  <c r="AH44"/>
  <c r="AX44"/>
  <c r="AW14" i="19"/>
  <c r="AW18"/>
  <c r="AW23"/>
  <c r="AW27"/>
  <c r="AW30"/>
  <c r="AW34"/>
  <c r="AW38"/>
  <c r="AV32" i="18"/>
  <c r="AY32" s="1"/>
  <c r="AG32"/>
  <c r="AU32"/>
  <c r="AF32"/>
  <c r="AV45"/>
  <c r="AG45"/>
  <c r="AU45"/>
  <c r="AF45"/>
  <c r="AV46"/>
  <c r="AG46"/>
  <c r="AU46"/>
  <c r="AF46"/>
  <c r="AV47"/>
  <c r="AG47"/>
  <c r="AU47"/>
  <c r="AF47"/>
  <c r="AV48"/>
  <c r="AY48" s="1"/>
  <c r="AG48"/>
  <c r="AU48"/>
  <c r="AF48"/>
  <c r="AV49"/>
  <c r="AG49"/>
  <c r="AU49"/>
  <c r="AF49"/>
  <c r="AG4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D27"/>
  <c r="AI27" s="1"/>
  <c r="AW27"/>
  <c r="V28"/>
  <c r="W28" s="1"/>
  <c r="AH28"/>
  <c r="AV28"/>
  <c r="AY28" s="1"/>
  <c r="U29"/>
  <c r="AG29"/>
  <c r="AD30"/>
  <c r="AI30" s="1"/>
  <c r="AW30"/>
  <c r="U31"/>
  <c r="AH31"/>
  <c r="AH32"/>
  <c r="AX32"/>
  <c r="U33"/>
  <c r="U34"/>
  <c r="W35"/>
  <c r="X35" s="1"/>
  <c r="AD35"/>
  <c r="AT35"/>
  <c r="W36"/>
  <c r="X36" s="1"/>
  <c r="AD36"/>
  <c r="AT36"/>
  <c r="W37"/>
  <c r="X37" s="1"/>
  <c r="AD37"/>
  <c r="AT37"/>
  <c r="W38"/>
  <c r="X38" s="1"/>
  <c r="AD38"/>
  <c r="AT38"/>
  <c r="AY38" s="1"/>
  <c r="AE39"/>
  <c r="AW39"/>
  <c r="AE40"/>
  <c r="AW40"/>
  <c r="AY40" s="1"/>
  <c r="AE41"/>
  <c r="AW41"/>
  <c r="AE42"/>
  <c r="AW42"/>
  <c r="AY42" s="1"/>
  <c r="AE43"/>
  <c r="AW43"/>
  <c r="AE44"/>
  <c r="AW44"/>
  <c r="AY44" s="1"/>
  <c r="AH45"/>
  <c r="AX45"/>
  <c r="AH46"/>
  <c r="AX46"/>
  <c r="AH47"/>
  <c r="AX47"/>
  <c r="AH48"/>
  <c r="AX48"/>
  <c r="AH49"/>
  <c r="AX49"/>
  <c r="U50"/>
  <c r="AI14" i="19"/>
  <c r="AW15"/>
  <c r="AI18"/>
  <c r="AW19"/>
  <c r="AW24"/>
  <c r="AI30"/>
  <c r="AW31"/>
  <c r="AI34"/>
  <c r="AW35"/>
  <c r="AU29" i="18"/>
  <c r="AY29" s="1"/>
  <c r="AF29"/>
  <c r="AV31"/>
  <c r="AG31"/>
  <c r="AU31"/>
  <c r="AF31"/>
  <c r="AV33"/>
  <c r="AG33"/>
  <c r="AU33"/>
  <c r="AY33" s="1"/>
  <c r="AF33"/>
  <c r="AV34"/>
  <c r="AG34"/>
  <c r="AU34"/>
  <c r="AY34" s="1"/>
  <c r="AF34"/>
  <c r="AV50"/>
  <c r="AW50"/>
  <c r="AH50"/>
  <c r="AU50"/>
  <c r="AG50"/>
  <c r="AT50"/>
  <c r="AY50" s="1"/>
  <c r="AF50"/>
  <c r="AF51"/>
  <c r="AE51"/>
  <c r="AF52"/>
  <c r="AE52"/>
  <c r="AF53"/>
  <c r="AE53"/>
  <c r="V13" i="19"/>
  <c r="W13" s="1"/>
  <c r="X13" s="1"/>
  <c r="AX16"/>
  <c r="AT16"/>
  <c r="AE16"/>
  <c r="AU16"/>
  <c r="AY16" s="1"/>
  <c r="AF16"/>
  <c r="AV16"/>
  <c r="AG16"/>
  <c r="AH16"/>
  <c r="AD16"/>
  <c r="V17"/>
  <c r="W17" s="1"/>
  <c r="X17" s="1"/>
  <c r="AX20"/>
  <c r="BA20" s="1"/>
  <c r="BB20" s="1"/>
  <c r="AT20"/>
  <c r="AE20"/>
  <c r="AU20"/>
  <c r="AY20" s="1"/>
  <c r="AF20"/>
  <c r="U20"/>
  <c r="AV20"/>
  <c r="AG20"/>
  <c r="AW20"/>
  <c r="AH20"/>
  <c r="AD20"/>
  <c r="AX21"/>
  <c r="AT21"/>
  <c r="AY21" s="1"/>
  <c r="AE21"/>
  <c r="AU21"/>
  <c r="AF21"/>
  <c r="AV21"/>
  <c r="AG21"/>
  <c r="AH21"/>
  <c r="AD21"/>
  <c r="AX25"/>
  <c r="AT25"/>
  <c r="AE25"/>
  <c r="AU25"/>
  <c r="AY25" s="1"/>
  <c r="AF25"/>
  <c r="U25"/>
  <c r="AV25"/>
  <c r="AG25"/>
  <c r="AH25"/>
  <c r="AD25"/>
  <c r="V26"/>
  <c r="W26" s="1"/>
  <c r="X26" s="1"/>
  <c r="X29"/>
  <c r="V29"/>
  <c r="AX32"/>
  <c r="AT32"/>
  <c r="AY32" s="1"/>
  <c r="AE32"/>
  <c r="AU32"/>
  <c r="AF32"/>
  <c r="AV32"/>
  <c r="AG32"/>
  <c r="AH32"/>
  <c r="AD32"/>
  <c r="V33"/>
  <c r="W33" s="1"/>
  <c r="X33" s="1"/>
  <c r="AX36"/>
  <c r="AT36"/>
  <c r="AE36"/>
  <c r="AI36" s="1"/>
  <c r="AU36"/>
  <c r="AY36" s="1"/>
  <c r="AF36"/>
  <c r="U36"/>
  <c r="AV36"/>
  <c r="AG36"/>
  <c r="AH36"/>
  <c r="AD36"/>
  <c r="U4" i="18"/>
  <c r="AF4"/>
  <c r="AU4"/>
  <c r="U5"/>
  <c r="AF5"/>
  <c r="AU5"/>
  <c r="U6"/>
  <c r="AF6"/>
  <c r="AU6"/>
  <c r="U7"/>
  <c r="AF7"/>
  <c r="AU7"/>
  <c r="U8"/>
  <c r="AF8"/>
  <c r="AU8"/>
  <c r="U9"/>
  <c r="AF9"/>
  <c r="AU9"/>
  <c r="U10"/>
  <c r="AF10"/>
  <c r="AU10"/>
  <c r="U11"/>
  <c r="AF11"/>
  <c r="AU11"/>
  <c r="U12"/>
  <c r="AF12"/>
  <c r="AU12"/>
  <c r="U13"/>
  <c r="AF13"/>
  <c r="AU13"/>
  <c r="U14"/>
  <c r="AF14"/>
  <c r="AU14"/>
  <c r="U15"/>
  <c r="AF15"/>
  <c r="AU15"/>
  <c r="U16"/>
  <c r="AF16"/>
  <c r="AU16"/>
  <c r="U17"/>
  <c r="AF17"/>
  <c r="AU17"/>
  <c r="U18"/>
  <c r="AF18"/>
  <c r="AU18"/>
  <c r="U19"/>
  <c r="AF19"/>
  <c r="AU19"/>
  <c r="U20"/>
  <c r="AF20"/>
  <c r="AU20"/>
  <c r="U21"/>
  <c r="AF21"/>
  <c r="AI21" s="1"/>
  <c r="AU21"/>
  <c r="U22"/>
  <c r="AF22"/>
  <c r="AU22"/>
  <c r="U23"/>
  <c r="AF23"/>
  <c r="AU23"/>
  <c r="U24"/>
  <c r="AF24"/>
  <c r="AU24"/>
  <c r="U25"/>
  <c r="AF25"/>
  <c r="AI25" s="1"/>
  <c r="AU25"/>
  <c r="U26"/>
  <c r="AF26"/>
  <c r="AU26"/>
  <c r="AH27"/>
  <c r="AV27"/>
  <c r="AG28"/>
  <c r="AE29"/>
  <c r="AX29"/>
  <c r="AH30"/>
  <c r="AV30"/>
  <c r="AE31"/>
  <c r="AW31"/>
  <c r="AE32"/>
  <c r="AW32"/>
  <c r="AH33"/>
  <c r="AX33"/>
  <c r="AH34"/>
  <c r="AX34"/>
  <c r="AD39"/>
  <c r="AT39"/>
  <c r="AD40"/>
  <c r="AI40" s="1"/>
  <c r="AT40"/>
  <c r="AD41"/>
  <c r="AT41"/>
  <c r="AD42"/>
  <c r="AI42" s="1"/>
  <c r="AT42"/>
  <c r="AD43"/>
  <c r="AT43"/>
  <c r="AD44"/>
  <c r="AI44" s="1"/>
  <c r="AT44"/>
  <c r="AE45"/>
  <c r="AW45"/>
  <c r="X46"/>
  <c r="AE46"/>
  <c r="AW46"/>
  <c r="AE47"/>
  <c r="AW47"/>
  <c r="AE48"/>
  <c r="AW48"/>
  <c r="AE49"/>
  <c r="AW49"/>
  <c r="AX50"/>
  <c r="AW16" i="19"/>
  <c r="AW21"/>
  <c r="AW25"/>
  <c r="AW32"/>
  <c r="AW36"/>
  <c r="AU28" i="18"/>
  <c r="AF28"/>
  <c r="AV35"/>
  <c r="AG35"/>
  <c r="AU35"/>
  <c r="AY35" s="1"/>
  <c r="AF35"/>
  <c r="AV36"/>
  <c r="AY36" s="1"/>
  <c r="AG36"/>
  <c r="AU36"/>
  <c r="AF36"/>
  <c r="AV37"/>
  <c r="AY37" s="1"/>
  <c r="AG37"/>
  <c r="AU37"/>
  <c r="AF37"/>
  <c r="AV38"/>
  <c r="AG38"/>
  <c r="AU38"/>
  <c r="AF38"/>
  <c r="AU51"/>
  <c r="AT51"/>
  <c r="U51"/>
  <c r="AU52"/>
  <c r="AT52"/>
  <c r="U52"/>
  <c r="AU53"/>
  <c r="AT53"/>
  <c r="U53"/>
  <c r="AE4"/>
  <c r="AT4"/>
  <c r="AY4" s="1"/>
  <c r="AE5"/>
  <c r="AI5" s="1"/>
  <c r="AT5"/>
  <c r="AY5" s="1"/>
  <c r="AE6"/>
  <c r="AT6"/>
  <c r="AY6" s="1"/>
  <c r="AE7"/>
  <c r="AT7"/>
  <c r="AY7" s="1"/>
  <c r="AE8"/>
  <c r="AT8"/>
  <c r="AY8" s="1"/>
  <c r="AE9"/>
  <c r="AT9"/>
  <c r="AY9" s="1"/>
  <c r="AE10"/>
  <c r="AT10"/>
  <c r="AY10" s="1"/>
  <c r="AE11"/>
  <c r="AT11"/>
  <c r="AY11" s="1"/>
  <c r="AE12"/>
  <c r="AT12"/>
  <c r="AY12" s="1"/>
  <c r="AE13"/>
  <c r="AT13"/>
  <c r="AY13" s="1"/>
  <c r="AE14"/>
  <c r="AT14"/>
  <c r="AY14" s="1"/>
  <c r="AE15"/>
  <c r="AT15"/>
  <c r="AY15" s="1"/>
  <c r="AE16"/>
  <c r="AI16" s="1"/>
  <c r="AT16"/>
  <c r="AY16" s="1"/>
  <c r="AE17"/>
  <c r="AI17" s="1"/>
  <c r="AT17"/>
  <c r="AY17" s="1"/>
  <c r="AE18"/>
  <c r="AT18"/>
  <c r="AY18" s="1"/>
  <c r="AE19"/>
  <c r="AT19"/>
  <c r="AY19" s="1"/>
  <c r="AE20"/>
  <c r="AI20" s="1"/>
  <c r="AT20"/>
  <c r="AY20" s="1"/>
  <c r="AE21"/>
  <c r="AT21"/>
  <c r="AY21" s="1"/>
  <c r="AE22"/>
  <c r="AT22"/>
  <c r="AY22" s="1"/>
  <c r="AE23"/>
  <c r="AT23"/>
  <c r="AY23" s="1"/>
  <c r="AE24"/>
  <c r="AI24" s="1"/>
  <c r="AT24"/>
  <c r="AY24" s="1"/>
  <c r="AE25"/>
  <c r="AT25"/>
  <c r="AY25" s="1"/>
  <c r="AE26"/>
  <c r="AT26"/>
  <c r="AY26" s="1"/>
  <c r="U27"/>
  <c r="AG27"/>
  <c r="AT27"/>
  <c r="AY27" s="1"/>
  <c r="AE28"/>
  <c r="AI28" s="1"/>
  <c r="AX28"/>
  <c r="AD29"/>
  <c r="AI29" s="1"/>
  <c r="AW29"/>
  <c r="U30"/>
  <c r="AG30"/>
  <c r="AT30"/>
  <c r="AY30" s="1"/>
  <c r="AD31"/>
  <c r="AI31" s="1"/>
  <c r="AT31"/>
  <c r="AY31" s="1"/>
  <c r="W32"/>
  <c r="X32" s="1"/>
  <c r="AD32"/>
  <c r="AI32" s="1"/>
  <c r="AT32"/>
  <c r="AE33"/>
  <c r="AI33" s="1"/>
  <c r="AW33"/>
  <c r="AE34"/>
  <c r="AI34" s="1"/>
  <c r="AW34"/>
  <c r="AH35"/>
  <c r="AX35"/>
  <c r="AH36"/>
  <c r="AX36"/>
  <c r="AH37"/>
  <c r="AX37"/>
  <c r="AH38"/>
  <c r="AX38"/>
  <c r="U39"/>
  <c r="AY39"/>
  <c r="U40"/>
  <c r="U41"/>
  <c r="AY41"/>
  <c r="U42"/>
  <c r="U43"/>
  <c r="AY43"/>
  <c r="U44"/>
  <c r="W45"/>
  <c r="X45" s="1"/>
  <c r="AD45"/>
  <c r="AI45" s="1"/>
  <c r="AT45"/>
  <c r="AY45" s="1"/>
  <c r="W46"/>
  <c r="AD46"/>
  <c r="AT46"/>
  <c r="AY46" s="1"/>
  <c r="W47"/>
  <c r="X47" s="1"/>
  <c r="AD47"/>
  <c r="AT47"/>
  <c r="AY47" s="1"/>
  <c r="W48"/>
  <c r="X48" s="1"/>
  <c r="AD48"/>
  <c r="AI48" s="1"/>
  <c r="AT48"/>
  <c r="W49"/>
  <c r="X49" s="1"/>
  <c r="AD49"/>
  <c r="AI49" s="1"/>
  <c r="AT49"/>
  <c r="AY49" s="1"/>
  <c r="AE50"/>
  <c r="AI50" s="1"/>
  <c r="AX51"/>
  <c r="AX52"/>
  <c r="AX53"/>
  <c r="AW13" i="19"/>
  <c r="AI16"/>
  <c r="AW17"/>
  <c r="AI20"/>
  <c r="AI21"/>
  <c r="AW22"/>
  <c r="AI25"/>
  <c r="AW26"/>
  <c r="AW29"/>
  <c r="W31"/>
  <c r="X31" s="1"/>
  <c r="AI32"/>
  <c r="AW33"/>
  <c r="AW37"/>
  <c r="W39"/>
  <c r="X39" s="1"/>
  <c r="AX4"/>
  <c r="BA4" s="1"/>
  <c r="BB4" s="1"/>
  <c r="BD4" s="1"/>
  <c r="AT4"/>
  <c r="AE4"/>
  <c r="AU4"/>
  <c r="AF4"/>
  <c r="AX5"/>
  <c r="BA5" s="1"/>
  <c r="BB5" s="1"/>
  <c r="BD5" s="1"/>
  <c r="AT5"/>
  <c r="AE5"/>
  <c r="AI5" s="1"/>
  <c r="AU5"/>
  <c r="AF5"/>
  <c r="AX6"/>
  <c r="AT6"/>
  <c r="AY6" s="1"/>
  <c r="AE6"/>
  <c r="AU6"/>
  <c r="AF6"/>
  <c r="AI6" s="1"/>
  <c r="AX7"/>
  <c r="AT7"/>
  <c r="AE7"/>
  <c r="AU7"/>
  <c r="AY7" s="1"/>
  <c r="AF7"/>
  <c r="AX8"/>
  <c r="AT8"/>
  <c r="AE8"/>
  <c r="AU8"/>
  <c r="AF8"/>
  <c r="AX9"/>
  <c r="BA9" s="1"/>
  <c r="BB9" s="1"/>
  <c r="BD9" s="1"/>
  <c r="AT9"/>
  <c r="AY9" s="1"/>
  <c r="AE9"/>
  <c r="AI9" s="1"/>
  <c r="AU9"/>
  <c r="AF9"/>
  <c r="U9"/>
  <c r="AX10"/>
  <c r="BA10" s="1"/>
  <c r="BB10" s="1"/>
  <c r="BD10" s="1"/>
  <c r="AT10"/>
  <c r="AE10"/>
  <c r="AU10"/>
  <c r="AF10"/>
  <c r="U10"/>
  <c r="AX11"/>
  <c r="AT11"/>
  <c r="AE11"/>
  <c r="AI11" s="1"/>
  <c r="AU11"/>
  <c r="AF11"/>
  <c r="AX12"/>
  <c r="AT12"/>
  <c r="AY12" s="1"/>
  <c r="AE12"/>
  <c r="AU12"/>
  <c r="AF12"/>
  <c r="AI12" s="1"/>
  <c r="AV12"/>
  <c r="AH4"/>
  <c r="AH5"/>
  <c r="AH6"/>
  <c r="AH7"/>
  <c r="AH8"/>
  <c r="AH9"/>
  <c r="AH10"/>
  <c r="AH11"/>
  <c r="AH12"/>
  <c r="U14"/>
  <c r="U16"/>
  <c r="U18"/>
  <c r="U21"/>
  <c r="U32"/>
  <c r="U34"/>
  <c r="AX13"/>
  <c r="AT13"/>
  <c r="AY13" s="1"/>
  <c r="AE13"/>
  <c r="AU13"/>
  <c r="AF13"/>
  <c r="AV13"/>
  <c r="AG13"/>
  <c r="AX15"/>
  <c r="AT15"/>
  <c r="AY15" s="1"/>
  <c r="AE15"/>
  <c r="AI15" s="1"/>
  <c r="AU15"/>
  <c r="AF15"/>
  <c r="AV15"/>
  <c r="AG15"/>
  <c r="AX17"/>
  <c r="AT17"/>
  <c r="AE17"/>
  <c r="AU17"/>
  <c r="AY17" s="1"/>
  <c r="AF17"/>
  <c r="AV17"/>
  <c r="AG17"/>
  <c r="AX19"/>
  <c r="AT19"/>
  <c r="AY19" s="1"/>
  <c r="AE19"/>
  <c r="AU19"/>
  <c r="AF19"/>
  <c r="AI19" s="1"/>
  <c r="U19"/>
  <c r="AV19"/>
  <c r="AG19"/>
  <c r="AX22"/>
  <c r="AT22"/>
  <c r="AY22" s="1"/>
  <c r="AE22"/>
  <c r="AU22"/>
  <c r="AF22"/>
  <c r="U22"/>
  <c r="AV22"/>
  <c r="AG22"/>
  <c r="AX24"/>
  <c r="AT24"/>
  <c r="AY24" s="1"/>
  <c r="AE24"/>
  <c r="AU24"/>
  <c r="AF24"/>
  <c r="AI24" s="1"/>
  <c r="AV24"/>
  <c r="AG24"/>
  <c r="AX26"/>
  <c r="AT26"/>
  <c r="AY26" s="1"/>
  <c r="AE26"/>
  <c r="AU26"/>
  <c r="AF26"/>
  <c r="AV26"/>
  <c r="AG26"/>
  <c r="AX28"/>
  <c r="AT28"/>
  <c r="AY28" s="1"/>
  <c r="AE28"/>
  <c r="AI28" s="1"/>
  <c r="AU28"/>
  <c r="AF28"/>
  <c r="AV28"/>
  <c r="AG28"/>
  <c r="AX29"/>
  <c r="AT29"/>
  <c r="AY29" s="1"/>
  <c r="AE29"/>
  <c r="AI29" s="1"/>
  <c r="AU29"/>
  <c r="AF29"/>
  <c r="AV29"/>
  <c r="AG29"/>
  <c r="AX31"/>
  <c r="AT31"/>
  <c r="AY31" s="1"/>
  <c r="AE31"/>
  <c r="AU31"/>
  <c r="AF31"/>
  <c r="AV31"/>
  <c r="AG31"/>
  <c r="AX33"/>
  <c r="AT33"/>
  <c r="AY33" s="1"/>
  <c r="AE33"/>
  <c r="AI33" s="1"/>
  <c r="AU33"/>
  <c r="AF33"/>
  <c r="AV33"/>
  <c r="AG33"/>
  <c r="AX35"/>
  <c r="AT35"/>
  <c r="AY35" s="1"/>
  <c r="AE35"/>
  <c r="AU35"/>
  <c r="AF35"/>
  <c r="U35"/>
  <c r="AV35"/>
  <c r="AG35"/>
  <c r="AX37"/>
  <c r="AT37"/>
  <c r="AY37" s="1"/>
  <c r="AE37"/>
  <c r="AI37" s="1"/>
  <c r="AU37"/>
  <c r="AF37"/>
  <c r="U37"/>
  <c r="AV37"/>
  <c r="AG37"/>
  <c r="AU39"/>
  <c r="AF39"/>
  <c r="AV39"/>
  <c r="AG39"/>
  <c r="AW39"/>
  <c r="AE39"/>
  <c r="AI39" s="1"/>
  <c r="AX39"/>
  <c r="AH39"/>
  <c r="X4"/>
  <c r="AI4"/>
  <c r="AY4"/>
  <c r="X5"/>
  <c r="AY5"/>
  <c r="X6"/>
  <c r="X7"/>
  <c r="AI7"/>
  <c r="X8"/>
  <c r="AI8"/>
  <c r="AY8"/>
  <c r="AI10"/>
  <c r="AY10"/>
  <c r="X11"/>
  <c r="AY11"/>
  <c r="X12"/>
  <c r="AI13"/>
  <c r="AY14"/>
  <c r="AI17"/>
  <c r="AY18"/>
  <c r="AI22"/>
  <c r="AY23"/>
  <c r="AI26"/>
  <c r="AY27"/>
  <c r="AY30"/>
  <c r="AI31"/>
  <c r="AY34"/>
  <c r="AI35"/>
  <c r="AY38"/>
  <c r="W46"/>
  <c r="X46" s="1"/>
  <c r="V46"/>
  <c r="V47"/>
  <c r="W47" s="1"/>
  <c r="X47" s="1"/>
  <c r="V56"/>
  <c r="W56" s="1"/>
  <c r="X56" s="1"/>
  <c r="W66"/>
  <c r="X66" s="1"/>
  <c r="V66"/>
  <c r="W67"/>
  <c r="X67" s="1"/>
  <c r="V67"/>
  <c r="V68"/>
  <c r="W68" s="1"/>
  <c r="X68" s="1"/>
  <c r="V69"/>
  <c r="W69" s="1"/>
  <c r="X69" s="1"/>
  <c r="W70"/>
  <c r="X70" s="1"/>
  <c r="V70"/>
  <c r="W71"/>
  <c r="X71" s="1"/>
  <c r="V71"/>
  <c r="V72"/>
  <c r="W72" s="1"/>
  <c r="X72" s="1"/>
  <c r="V73"/>
  <c r="W73" s="1"/>
  <c r="X73" s="1"/>
  <c r="W74"/>
  <c r="X74" s="1"/>
  <c r="V74"/>
  <c r="W75"/>
  <c r="X75" s="1"/>
  <c r="V75"/>
  <c r="V76"/>
  <c r="W76" s="1"/>
  <c r="X76" s="1"/>
  <c r="V77"/>
  <c r="W77" s="1"/>
  <c r="X77" s="1"/>
  <c r="W79"/>
  <c r="X79" s="1"/>
  <c r="V79"/>
  <c r="AY39"/>
  <c r="U43"/>
  <c r="U44"/>
  <c r="U45"/>
  <c r="AU40"/>
  <c r="AY40" s="1"/>
  <c r="AF40"/>
  <c r="AV40"/>
  <c r="AG40"/>
  <c r="AU41"/>
  <c r="AY41" s="1"/>
  <c r="AF41"/>
  <c r="AV41"/>
  <c r="AG41"/>
  <c r="AU42"/>
  <c r="AY42" s="1"/>
  <c r="AF42"/>
  <c r="AV42"/>
  <c r="AG42"/>
  <c r="AI42" s="1"/>
  <c r="AU43"/>
  <c r="AY43" s="1"/>
  <c r="AF43"/>
  <c r="AV43"/>
  <c r="AG43"/>
  <c r="AU44"/>
  <c r="AY44" s="1"/>
  <c r="AF44"/>
  <c r="AI44" s="1"/>
  <c r="AV44"/>
  <c r="AG44"/>
  <c r="AW45"/>
  <c r="AX45"/>
  <c r="AU45"/>
  <c r="AF45"/>
  <c r="AV45"/>
  <c r="AY45" s="1"/>
  <c r="AG45"/>
  <c r="AD51" i="18"/>
  <c r="AH51"/>
  <c r="AW51"/>
  <c r="AD52"/>
  <c r="AH52"/>
  <c r="AW52"/>
  <c r="AD53"/>
  <c r="AI53" s="1"/>
  <c r="AH53"/>
  <c r="AW53"/>
  <c r="AH40" i="19"/>
  <c r="AX40"/>
  <c r="AH41"/>
  <c r="AX41"/>
  <c r="AH42"/>
  <c r="AX42"/>
  <c r="AH43"/>
  <c r="AX43"/>
  <c r="AH44"/>
  <c r="AX44"/>
  <c r="AH45"/>
  <c r="AY59"/>
  <c r="AY63"/>
  <c r="V48"/>
  <c r="W48" s="1"/>
  <c r="X48" s="1"/>
  <c r="V49"/>
  <c r="W49" s="1"/>
  <c r="X49" s="1"/>
  <c r="W50"/>
  <c r="X50" s="1"/>
  <c r="V50"/>
  <c r="W51"/>
  <c r="X51" s="1"/>
  <c r="V51"/>
  <c r="V52"/>
  <c r="W52" s="1"/>
  <c r="X52" s="1"/>
  <c r="V53"/>
  <c r="W53" s="1"/>
  <c r="X53" s="1"/>
  <c r="W54"/>
  <c r="X54" s="1"/>
  <c r="V54"/>
  <c r="W55"/>
  <c r="X55" s="1"/>
  <c r="V55"/>
  <c r="V57"/>
  <c r="W57" s="1"/>
  <c r="X57" s="1"/>
  <c r="V58"/>
  <c r="W58" s="1"/>
  <c r="X58" s="1"/>
  <c r="W59"/>
  <c r="X59" s="1"/>
  <c r="V59"/>
  <c r="W60"/>
  <c r="X60" s="1"/>
  <c r="V60"/>
  <c r="V61"/>
  <c r="W61" s="1"/>
  <c r="X61" s="1"/>
  <c r="V62"/>
  <c r="W62" s="1"/>
  <c r="X62" s="1"/>
  <c r="W63"/>
  <c r="X63" s="1"/>
  <c r="V63"/>
  <c r="W64"/>
  <c r="X64" s="1"/>
  <c r="V64"/>
  <c r="V65"/>
  <c r="W65" s="1"/>
  <c r="X65" s="1"/>
  <c r="W80"/>
  <c r="X80"/>
  <c r="V80"/>
  <c r="AG51" i="18"/>
  <c r="AG52"/>
  <c r="AG53"/>
  <c r="X40" i="19"/>
  <c r="AE40"/>
  <c r="AI40" s="1"/>
  <c r="AW40"/>
  <c r="X41"/>
  <c r="AE41"/>
  <c r="AI41" s="1"/>
  <c r="AW41"/>
  <c r="X42"/>
  <c r="AE42"/>
  <c r="AW42"/>
  <c r="AE43"/>
  <c r="AI43" s="1"/>
  <c r="AW43"/>
  <c r="AE44"/>
  <c r="AW44"/>
  <c r="AE45"/>
  <c r="AI45" s="1"/>
  <c r="AG46"/>
  <c r="AV46"/>
  <c r="AG47"/>
  <c r="AV47"/>
  <c r="AG48"/>
  <c r="AV48"/>
  <c r="AG49"/>
  <c r="AV49"/>
  <c r="AG50"/>
  <c r="AV50"/>
  <c r="AY50" s="1"/>
  <c r="AG51"/>
  <c r="AV51"/>
  <c r="AG52"/>
  <c r="AV52"/>
  <c r="AG53"/>
  <c r="AV53"/>
  <c r="AG54"/>
  <c r="AV54"/>
  <c r="AY54" s="1"/>
  <c r="AG55"/>
  <c r="AV55"/>
  <c r="AG56"/>
  <c r="AV56"/>
  <c r="AG57"/>
  <c r="AV57"/>
  <c r="AG58"/>
  <c r="AV58"/>
  <c r="AG59"/>
  <c r="AV59"/>
  <c r="AG60"/>
  <c r="AV60"/>
  <c r="AG61"/>
  <c r="AV61"/>
  <c r="AG62"/>
  <c r="AV62"/>
  <c r="AG63"/>
  <c r="AV63"/>
  <c r="AG64"/>
  <c r="AV64"/>
  <c r="AG65"/>
  <c r="AV65"/>
  <c r="AG66"/>
  <c r="AV66"/>
  <c r="AG67"/>
  <c r="AV67"/>
  <c r="AG68"/>
  <c r="AV68"/>
  <c r="AG69"/>
  <c r="AV69"/>
  <c r="AG70"/>
  <c r="AV70"/>
  <c r="AG71"/>
  <c r="AV71"/>
  <c r="AG72"/>
  <c r="AV72"/>
  <c r="AG73"/>
  <c r="AV73"/>
  <c r="AG74"/>
  <c r="AV74"/>
  <c r="AG75"/>
  <c r="AV75"/>
  <c r="AG76"/>
  <c r="AV76"/>
  <c r="AG77"/>
  <c r="AV77"/>
  <c r="AG78"/>
  <c r="AV78"/>
  <c r="AG79"/>
  <c r="AV79"/>
  <c r="AG80"/>
  <c r="AV80"/>
  <c r="AF46"/>
  <c r="AU46"/>
  <c r="AF47"/>
  <c r="AU47"/>
  <c r="AF48"/>
  <c r="AU48"/>
  <c r="AF49"/>
  <c r="AU49"/>
  <c r="AF50"/>
  <c r="AU50"/>
  <c r="AF51"/>
  <c r="AU51"/>
  <c r="AF52"/>
  <c r="AU52"/>
  <c r="AF53"/>
  <c r="AU53"/>
  <c r="AF54"/>
  <c r="AU54"/>
  <c r="AF55"/>
  <c r="AU55"/>
  <c r="AF56"/>
  <c r="AU56"/>
  <c r="AF57"/>
  <c r="AU57"/>
  <c r="AF58"/>
  <c r="AU58"/>
  <c r="AF59"/>
  <c r="AU59"/>
  <c r="AF60"/>
  <c r="AU60"/>
  <c r="AF61"/>
  <c r="AU61"/>
  <c r="AF62"/>
  <c r="AU62"/>
  <c r="AF63"/>
  <c r="AU63"/>
  <c r="AF64"/>
  <c r="AU64"/>
  <c r="AF65"/>
  <c r="AU65"/>
  <c r="AF66"/>
  <c r="AU66"/>
  <c r="AF67"/>
  <c r="AU67"/>
  <c r="AF68"/>
  <c r="AU68"/>
  <c r="AF69"/>
  <c r="AU69"/>
  <c r="AF70"/>
  <c r="AU70"/>
  <c r="AF71"/>
  <c r="AU71"/>
  <c r="AF72"/>
  <c r="AU72"/>
  <c r="AF73"/>
  <c r="AU73"/>
  <c r="AF74"/>
  <c r="AU74"/>
  <c r="AF75"/>
  <c r="AU75"/>
  <c r="AF76"/>
  <c r="AU76"/>
  <c r="AF77"/>
  <c r="AU77"/>
  <c r="U78"/>
  <c r="AF78"/>
  <c r="AU78"/>
  <c r="AF79"/>
  <c r="AU79"/>
  <c r="AF80"/>
  <c r="AU80"/>
  <c r="AE46"/>
  <c r="AT46"/>
  <c r="AY46" s="1"/>
  <c r="AX46"/>
  <c r="AE47"/>
  <c r="AT47"/>
  <c r="AY47" s="1"/>
  <c r="AX47"/>
  <c r="AE48"/>
  <c r="AT48"/>
  <c r="AY48" s="1"/>
  <c r="AX48"/>
  <c r="AE49"/>
  <c r="AT49"/>
  <c r="AX49"/>
  <c r="AE50"/>
  <c r="AT50"/>
  <c r="AX50"/>
  <c r="AE51"/>
  <c r="AT51"/>
  <c r="AY51" s="1"/>
  <c r="AX51"/>
  <c r="AE52"/>
  <c r="AT52"/>
  <c r="AY52" s="1"/>
  <c r="AX52"/>
  <c r="AE53"/>
  <c r="AT53"/>
  <c r="AX53"/>
  <c r="AE54"/>
  <c r="AT54"/>
  <c r="AX54"/>
  <c r="AE55"/>
  <c r="AT55"/>
  <c r="AY55" s="1"/>
  <c r="AX55"/>
  <c r="AE56"/>
  <c r="AT56"/>
  <c r="AY56" s="1"/>
  <c r="AX56"/>
  <c r="AE57"/>
  <c r="AT57"/>
  <c r="AY57" s="1"/>
  <c r="AX57"/>
  <c r="AE58"/>
  <c r="AT58"/>
  <c r="AY58" s="1"/>
  <c r="AX58"/>
  <c r="AE59"/>
  <c r="AT59"/>
  <c r="AX59"/>
  <c r="AE60"/>
  <c r="AT60"/>
  <c r="AY60" s="1"/>
  <c r="AX60"/>
  <c r="AE61"/>
  <c r="AT61"/>
  <c r="AY61" s="1"/>
  <c r="AX61"/>
  <c r="AE62"/>
  <c r="AT62"/>
  <c r="AY62" s="1"/>
  <c r="AX62"/>
  <c r="AE63"/>
  <c r="AT63"/>
  <c r="AX63"/>
  <c r="AE64"/>
  <c r="AT64"/>
  <c r="AY64" s="1"/>
  <c r="AX64"/>
  <c r="AE65"/>
  <c r="AT65"/>
  <c r="AY65" s="1"/>
  <c r="AX65"/>
  <c r="AE66"/>
  <c r="AT66"/>
  <c r="AY66" s="1"/>
  <c r="AX66"/>
  <c r="AE67"/>
  <c r="AT67"/>
  <c r="AY67" s="1"/>
  <c r="AX67"/>
  <c r="AE68"/>
  <c r="AT68"/>
  <c r="AY68" s="1"/>
  <c r="AX68"/>
  <c r="AE69"/>
  <c r="AT69"/>
  <c r="AY69" s="1"/>
  <c r="AX69"/>
  <c r="AE70"/>
  <c r="AT70"/>
  <c r="AY70" s="1"/>
  <c r="AX70"/>
  <c r="AE71"/>
  <c r="AT71"/>
  <c r="AY71" s="1"/>
  <c r="AX71"/>
  <c r="AE72"/>
  <c r="AT72"/>
  <c r="AY72" s="1"/>
  <c r="AX72"/>
  <c r="AE73"/>
  <c r="AT73"/>
  <c r="AY73" s="1"/>
  <c r="AX73"/>
  <c r="AE74"/>
  <c r="AT74"/>
  <c r="AY74" s="1"/>
  <c r="AX74"/>
  <c r="AE75"/>
  <c r="AT75"/>
  <c r="AY75" s="1"/>
  <c r="AX75"/>
  <c r="AE76"/>
  <c r="AT76"/>
  <c r="AY76" s="1"/>
  <c r="AX76"/>
  <c r="AE77"/>
  <c r="AT77"/>
  <c r="AY77" s="1"/>
  <c r="AX77"/>
  <c r="AT78"/>
  <c r="AY78" s="1"/>
  <c r="AX78"/>
  <c r="AE79"/>
  <c r="AT79"/>
  <c r="AY79" s="1"/>
  <c r="AX79"/>
  <c r="AE80"/>
  <c r="AT80"/>
  <c r="AY80" s="1"/>
  <c r="AX80"/>
  <c r="AD46"/>
  <c r="AH46"/>
  <c r="AD47"/>
  <c r="AH47"/>
  <c r="AD48"/>
  <c r="AH48"/>
  <c r="AD49"/>
  <c r="AH49"/>
  <c r="AD50"/>
  <c r="AH50"/>
  <c r="AD51"/>
  <c r="AH51"/>
  <c r="AD52"/>
  <c r="AH52"/>
  <c r="AD53"/>
  <c r="AH53"/>
  <c r="AD54"/>
  <c r="AH54"/>
  <c r="AD55"/>
  <c r="AH55"/>
  <c r="AD56"/>
  <c r="AH56"/>
  <c r="AD57"/>
  <c r="AH57"/>
  <c r="AD58"/>
  <c r="AH58"/>
  <c r="AD59"/>
  <c r="AH59"/>
  <c r="AD60"/>
  <c r="AH60"/>
  <c r="AD61"/>
  <c r="AH61"/>
  <c r="AD62"/>
  <c r="AH62"/>
  <c r="AD63"/>
  <c r="AH63"/>
  <c r="AD64"/>
  <c r="AH64"/>
  <c r="AD65"/>
  <c r="AH65"/>
  <c r="AD66"/>
  <c r="AH66"/>
  <c r="AD67"/>
  <c r="AH67"/>
  <c r="AD68"/>
  <c r="AH68"/>
  <c r="AD69"/>
  <c r="AH69"/>
  <c r="AD70"/>
  <c r="AH70"/>
  <c r="AD71"/>
  <c r="AH71"/>
  <c r="AD72"/>
  <c r="AH72"/>
  <c r="AD73"/>
  <c r="AH73"/>
  <c r="AD74"/>
  <c r="AH74"/>
  <c r="AD75"/>
  <c r="AH75"/>
  <c r="AD76"/>
  <c r="AH76"/>
  <c r="AD77"/>
  <c r="AH77"/>
  <c r="AD78"/>
  <c r="AH78"/>
  <c r="AD79"/>
  <c r="AH79"/>
  <c r="AD80"/>
  <c r="AH80"/>
  <c r="AJ8" i="26" l="1"/>
  <c r="AK8" s="1"/>
  <c r="AL8" s="1"/>
  <c r="AN8" s="1"/>
  <c r="AZ8"/>
  <c r="BA8" s="1"/>
  <c r="BB8" s="1"/>
  <c r="BD8" s="1"/>
  <c r="AJ9"/>
  <c r="AK9" s="1"/>
  <c r="AL9" s="1"/>
  <c r="AN9" s="1"/>
  <c r="AZ9"/>
  <c r="BA9" s="1"/>
  <c r="BB9" s="1"/>
  <c r="BD9" s="1"/>
  <c r="AJ11"/>
  <c r="AK11" s="1"/>
  <c r="AL11" s="1"/>
  <c r="AN11" s="1"/>
  <c r="AZ11"/>
  <c r="BA11" s="1"/>
  <c r="BB11" s="1"/>
  <c r="BD11" s="1"/>
  <c r="AJ5"/>
  <c r="AK5" s="1"/>
  <c r="AL5" s="1"/>
  <c r="AN5" s="1"/>
  <c r="AZ5"/>
  <c r="BA5" s="1"/>
  <c r="BB5" s="1"/>
  <c r="BD5" s="1"/>
  <c r="AJ6"/>
  <c r="AK6" s="1"/>
  <c r="AL6" s="1"/>
  <c r="AN6" s="1"/>
  <c r="AZ6"/>
  <c r="BA6" s="1"/>
  <c r="BB6" s="1"/>
  <c r="BD6" s="1"/>
  <c r="AJ14"/>
  <c r="AK14" s="1"/>
  <c r="AL14" s="1"/>
  <c r="AN14" s="1"/>
  <c r="AZ14"/>
  <c r="BA14" s="1"/>
  <c r="BB14" s="1"/>
  <c r="BD14" s="1"/>
  <c r="AJ7"/>
  <c r="AK7" s="1"/>
  <c r="AL7" s="1"/>
  <c r="AN7" s="1"/>
  <c r="AZ7"/>
  <c r="BA7" s="1"/>
  <c r="BB7" s="1"/>
  <c r="BD7" s="1"/>
  <c r="AJ4"/>
  <c r="AK4" s="1"/>
  <c r="AL4" s="1"/>
  <c r="AN4" s="1"/>
  <c r="AZ4"/>
  <c r="BA4" s="1"/>
  <c r="BB4" s="1"/>
  <c r="BD4" s="1"/>
  <c r="AJ13"/>
  <c r="AK13" s="1"/>
  <c r="AL13" s="1"/>
  <c r="AN13" s="1"/>
  <c r="AZ13"/>
  <c r="BA13" s="1"/>
  <c r="BB13" s="1"/>
  <c r="BD13" s="1"/>
  <c r="AJ3"/>
  <c r="AK3" s="1"/>
  <c r="AL3" s="1"/>
  <c r="AN3" s="1"/>
  <c r="AZ3"/>
  <c r="BA3" s="1"/>
  <c r="BB3" s="1"/>
  <c r="BD3" s="1"/>
  <c r="AJ12"/>
  <c r="AK12" s="1"/>
  <c r="AL12" s="1"/>
  <c r="AN12" s="1"/>
  <c r="AZ12"/>
  <c r="BA12" s="1"/>
  <c r="BB12" s="1"/>
  <c r="BD12" s="1"/>
  <c r="AJ10"/>
  <c r="AK10" s="1"/>
  <c r="AL10" s="1"/>
  <c r="AN10" s="1"/>
  <c r="AZ10"/>
  <c r="BA10" s="1"/>
  <c r="BB10" s="1"/>
  <c r="BD10" s="1"/>
  <c r="AJ11" i="25"/>
  <c r="AK11" s="1"/>
  <c r="AL11" s="1"/>
  <c r="AN11" s="1"/>
  <c r="AZ11"/>
  <c r="BA11" s="1"/>
  <c r="BB11" s="1"/>
  <c r="BD11" s="1"/>
  <c r="AJ9"/>
  <c r="AK9" s="1"/>
  <c r="AL9" s="1"/>
  <c r="AN9" s="1"/>
  <c r="AZ9"/>
  <c r="BA9" s="1"/>
  <c r="BB9" s="1"/>
  <c r="BD9" s="1"/>
  <c r="AJ10"/>
  <c r="AK10" s="1"/>
  <c r="AL10" s="1"/>
  <c r="AN10" s="1"/>
  <c r="AZ10"/>
  <c r="BA10" s="1"/>
  <c r="BB10" s="1"/>
  <c r="BD10" s="1"/>
  <c r="BC13" i="24"/>
  <c r="BD13"/>
  <c r="AM13"/>
  <c r="AN13" s="1"/>
  <c r="AM9" i="23"/>
  <c r="AN9"/>
  <c r="AM6"/>
  <c r="AN6" s="1"/>
  <c r="AM12" i="22"/>
  <c r="AN12"/>
  <c r="BC12"/>
  <c r="BD12"/>
  <c r="BC26" i="21"/>
  <c r="BD26" s="1"/>
  <c r="AM26"/>
  <c r="AN26" s="1"/>
  <c r="AM11"/>
  <c r="AN11" s="1"/>
  <c r="BC11"/>
  <c r="BD11" s="1"/>
  <c r="AJ4" i="20"/>
  <c r="AK4" s="1"/>
  <c r="AL4" s="1"/>
  <c r="AN4" s="1"/>
  <c r="AZ4"/>
  <c r="BA4" s="1"/>
  <c r="BB4" s="1"/>
  <c r="BD4" s="1"/>
  <c r="AJ6"/>
  <c r="AK6" s="1"/>
  <c r="AL6" s="1"/>
  <c r="AN6" s="1"/>
  <c r="AZ6"/>
  <c r="BA6" s="1"/>
  <c r="BB6" s="1"/>
  <c r="BD6" s="1"/>
  <c r="AJ3"/>
  <c r="AK3" s="1"/>
  <c r="AL3" s="1"/>
  <c r="AN3" s="1"/>
  <c r="AZ3"/>
  <c r="BA3" s="1"/>
  <c r="BB3" s="1"/>
  <c r="BD3" s="1"/>
  <c r="AJ8"/>
  <c r="AK8" s="1"/>
  <c r="AL8" s="1"/>
  <c r="AN8" s="1"/>
  <c r="AZ8"/>
  <c r="BA8" s="1"/>
  <c r="BB8" s="1"/>
  <c r="BD8" s="1"/>
  <c r="AJ7"/>
  <c r="AK7" s="1"/>
  <c r="AL7" s="1"/>
  <c r="AZ7"/>
  <c r="BA7" s="1"/>
  <c r="BB7" s="1"/>
  <c r="AJ5"/>
  <c r="AK5" s="1"/>
  <c r="AL5" s="1"/>
  <c r="AN5" s="1"/>
  <c r="AZ5"/>
  <c r="BA5" s="1"/>
  <c r="BB5" s="1"/>
  <c r="BD5" s="1"/>
  <c r="AJ9"/>
  <c r="AK9" s="1"/>
  <c r="AL9" s="1"/>
  <c r="AN9" s="1"/>
  <c r="AZ9"/>
  <c r="BA9" s="1"/>
  <c r="BB9" s="1"/>
  <c r="BD9" s="1"/>
  <c r="BC10"/>
  <c r="BD10"/>
  <c r="AM10"/>
  <c r="AN10"/>
  <c r="AZ62" i="19"/>
  <c r="AJ33"/>
  <c r="AK33" s="1"/>
  <c r="AL33" s="1"/>
  <c r="AN33" s="1"/>
  <c r="AZ33"/>
  <c r="AZ57"/>
  <c r="AZ51"/>
  <c r="AZ74"/>
  <c r="AZ66"/>
  <c r="AZ58"/>
  <c r="AZ69"/>
  <c r="AZ48" i="18"/>
  <c r="AJ48"/>
  <c r="AZ64" i="19"/>
  <c r="AZ61"/>
  <c r="AZ59"/>
  <c r="AZ55"/>
  <c r="AZ52"/>
  <c r="AZ50"/>
  <c r="AZ79"/>
  <c r="AZ75"/>
  <c r="AZ72"/>
  <c r="AZ70"/>
  <c r="AZ67"/>
  <c r="AZ47"/>
  <c r="AZ47" i="18"/>
  <c r="AJ13" i="19"/>
  <c r="AK13" s="1"/>
  <c r="AL13" s="1"/>
  <c r="AN13" s="1"/>
  <c r="AZ13"/>
  <c r="AJ26" i="14"/>
  <c r="AZ26"/>
  <c r="AJ18"/>
  <c r="AZ18"/>
  <c r="AJ8"/>
  <c r="AZ8"/>
  <c r="AZ13"/>
  <c r="AJ13"/>
  <c r="AJ11"/>
  <c r="AZ11"/>
  <c r="AZ9"/>
  <c r="AJ9"/>
  <c r="AJ39" i="13"/>
  <c r="AZ39"/>
  <c r="AJ27"/>
  <c r="AZ27"/>
  <c r="AJ9"/>
  <c r="AZ9"/>
  <c r="AJ4"/>
  <c r="AZ4"/>
  <c r="AJ9" i="11"/>
  <c r="AZ9"/>
  <c r="AZ35"/>
  <c r="AJ35"/>
  <c r="AZ6"/>
  <c r="AJ6"/>
  <c r="AJ45"/>
  <c r="AJ38"/>
  <c r="AZ20"/>
  <c r="AJ20"/>
  <c r="AZ4"/>
  <c r="AJ4"/>
  <c r="AJ46"/>
  <c r="AJ37"/>
  <c r="AZ28"/>
  <c r="AJ28"/>
  <c r="AJ26" i="10"/>
  <c r="AZ26"/>
  <c r="BA26" s="1"/>
  <c r="BB26" s="1"/>
  <c r="AJ317" i="6"/>
  <c r="AZ317"/>
  <c r="AJ15" i="10"/>
  <c r="AZ15"/>
  <c r="BA15" s="1"/>
  <c r="BB15" s="1"/>
  <c r="AJ18" i="11"/>
  <c r="AZ36"/>
  <c r="AJ36"/>
  <c r="AJ266" i="6"/>
  <c r="AZ266"/>
  <c r="BA266" s="1"/>
  <c r="BB266" s="1"/>
  <c r="BD266" s="1"/>
  <c r="AJ264"/>
  <c r="AZ264"/>
  <c r="BA264" s="1"/>
  <c r="BB264" s="1"/>
  <c r="BD264" s="1"/>
  <c r="AJ262"/>
  <c r="AZ262"/>
  <c r="BA262" s="1"/>
  <c r="BB262" s="1"/>
  <c r="BD262" s="1"/>
  <c r="AJ260"/>
  <c r="AZ260"/>
  <c r="AJ258"/>
  <c r="AZ258"/>
  <c r="BA258" s="1"/>
  <c r="BB258" s="1"/>
  <c r="BD258" s="1"/>
  <c r="AJ256"/>
  <c r="AZ256"/>
  <c r="BA256" s="1"/>
  <c r="BB256" s="1"/>
  <c r="BD256" s="1"/>
  <c r="AJ254"/>
  <c r="AZ254"/>
  <c r="BA254" s="1"/>
  <c r="BB254" s="1"/>
  <c r="BD254" s="1"/>
  <c r="AJ252"/>
  <c r="AZ252"/>
  <c r="BA252" s="1"/>
  <c r="BB252" s="1"/>
  <c r="BD252" s="1"/>
  <c r="AJ250"/>
  <c r="AZ250"/>
  <c r="BA250" s="1"/>
  <c r="BB250" s="1"/>
  <c r="BD250" s="1"/>
  <c r="AJ248"/>
  <c r="AZ248"/>
  <c r="BA248" s="1"/>
  <c r="BB248" s="1"/>
  <c r="BD248" s="1"/>
  <c r="AZ246"/>
  <c r="BA246" s="1"/>
  <c r="BB246" s="1"/>
  <c r="BD246" s="1"/>
  <c r="AZ245"/>
  <c r="AJ245"/>
  <c r="AJ119"/>
  <c r="AZ119"/>
  <c r="AJ111"/>
  <c r="AZ111"/>
  <c r="BA111" s="1"/>
  <c r="BB111" s="1"/>
  <c r="BD111" s="1"/>
  <c r="AJ107"/>
  <c r="AZ107"/>
  <c r="BA107" s="1"/>
  <c r="BB107" s="1"/>
  <c r="BD107" s="1"/>
  <c r="AZ165"/>
  <c r="BA165" s="1"/>
  <c r="BB165" s="1"/>
  <c r="BD165" s="1"/>
  <c r="AJ165"/>
  <c r="AZ147"/>
  <c r="BA147" s="1"/>
  <c r="BB147" s="1"/>
  <c r="BD147" s="1"/>
  <c r="AJ147"/>
  <c r="AZ143"/>
  <c r="BA143" s="1"/>
  <c r="BB143" s="1"/>
  <c r="BD143" s="1"/>
  <c r="AJ143"/>
  <c r="AZ133"/>
  <c r="BA133" s="1"/>
  <c r="BB133" s="1"/>
  <c r="BD133" s="1"/>
  <c r="AJ133"/>
  <c r="AJ114"/>
  <c r="AZ114"/>
  <c r="AZ110"/>
  <c r="BA110" s="1"/>
  <c r="BB110" s="1"/>
  <c r="BD110" s="1"/>
  <c r="AJ110"/>
  <c r="AZ170"/>
  <c r="BA170" s="1"/>
  <c r="BB170" s="1"/>
  <c r="BD170" s="1"/>
  <c r="AJ170"/>
  <c r="AZ164"/>
  <c r="BA164" s="1"/>
  <c r="BB164" s="1"/>
  <c r="BD164" s="1"/>
  <c r="AJ164"/>
  <c r="AZ175"/>
  <c r="BA175" s="1"/>
  <c r="BB175" s="1"/>
  <c r="BD175" s="1"/>
  <c r="AJ175"/>
  <c r="AZ171"/>
  <c r="BA171" s="1"/>
  <c r="BB171" s="1"/>
  <c r="BD171" s="1"/>
  <c r="AJ171"/>
  <c r="AZ67"/>
  <c r="AJ67"/>
  <c r="AZ64"/>
  <c r="AJ32" i="2"/>
  <c r="AZ32"/>
  <c r="AJ27"/>
  <c r="AZ27"/>
  <c r="AJ21"/>
  <c r="AZ21"/>
  <c r="AJ17"/>
  <c r="AZ17"/>
  <c r="AJ13"/>
  <c r="AJ9"/>
  <c r="AJ5"/>
  <c r="AZ63" i="6"/>
  <c r="AZ60"/>
  <c r="AZ55"/>
  <c r="AZ52"/>
  <c r="AZ47"/>
  <c r="AZ44"/>
  <c r="AZ39"/>
  <c r="AZ36"/>
  <c r="AZ31"/>
  <c r="AZ28"/>
  <c r="AZ23"/>
  <c r="AZ20"/>
  <c r="AZ15"/>
  <c r="AZ12"/>
  <c r="AZ7"/>
  <c r="AZ4"/>
  <c r="AJ19" i="3"/>
  <c r="AZ19"/>
  <c r="BA19" s="1"/>
  <c r="BB19" s="1"/>
  <c r="BD19" s="1"/>
  <c r="AJ15"/>
  <c r="AZ15"/>
  <c r="BA15" s="1"/>
  <c r="BB15" s="1"/>
  <c r="BD15" s="1"/>
  <c r="AJ11"/>
  <c r="AZ11"/>
  <c r="BA11" s="1"/>
  <c r="BB11" s="1"/>
  <c r="BD11" s="1"/>
  <c r="AZ8" i="4"/>
  <c r="AJ8"/>
  <c r="AK8" s="1"/>
  <c r="AL8" s="1"/>
  <c r="AN8" s="1"/>
  <c r="AJ26" i="19"/>
  <c r="AK26" s="1"/>
  <c r="AL26" s="1"/>
  <c r="AN26" s="1"/>
  <c r="AZ26"/>
  <c r="AZ25" i="14"/>
  <c r="AJ35" i="13"/>
  <c r="AZ35"/>
  <c r="AJ20"/>
  <c r="AZ20"/>
  <c r="AJ17"/>
  <c r="AZ17"/>
  <c r="AJ5"/>
  <c r="AZ5"/>
  <c r="AJ10" i="11"/>
  <c r="AZ10"/>
  <c r="AZ47"/>
  <c r="AJ47"/>
  <c r="AJ29"/>
  <c r="AJ22"/>
  <c r="AZ5"/>
  <c r="AJ5"/>
  <c r="AZ48"/>
  <c r="AJ48"/>
  <c r="AZ39"/>
  <c r="AJ39"/>
  <c r="AJ21"/>
  <c r="AJ36" i="10"/>
  <c r="AZ36"/>
  <c r="BA36" s="1"/>
  <c r="BB36" s="1"/>
  <c r="BD36" s="1"/>
  <c r="AJ13" i="11"/>
  <c r="AZ13"/>
  <c r="AZ27"/>
  <c r="AJ27"/>
  <c r="AJ243" i="6"/>
  <c r="AZ243"/>
  <c r="BA243" s="1"/>
  <c r="BB243" s="1"/>
  <c r="BD243" s="1"/>
  <c r="AJ241"/>
  <c r="AZ241"/>
  <c r="BA241" s="1"/>
  <c r="BB241" s="1"/>
  <c r="BD241" s="1"/>
  <c r="AJ239"/>
  <c r="AZ239"/>
  <c r="BA239" s="1"/>
  <c r="BB239" s="1"/>
  <c r="BD239" s="1"/>
  <c r="AJ237"/>
  <c r="AZ237"/>
  <c r="BA237" s="1"/>
  <c r="BB237" s="1"/>
  <c r="BD237" s="1"/>
  <c r="AJ235"/>
  <c r="AZ235"/>
  <c r="BA235" s="1"/>
  <c r="BB235" s="1"/>
  <c r="BD235" s="1"/>
  <c r="AJ233"/>
  <c r="AZ233"/>
  <c r="BA233" s="1"/>
  <c r="BB233" s="1"/>
  <c r="BD233" s="1"/>
  <c r="AJ231"/>
  <c r="AZ231"/>
  <c r="BA231" s="1"/>
  <c r="BB231" s="1"/>
  <c r="BD231" s="1"/>
  <c r="AJ229"/>
  <c r="AZ229"/>
  <c r="BA229" s="1"/>
  <c r="BB229" s="1"/>
  <c r="BD229" s="1"/>
  <c r="AJ227"/>
  <c r="AZ227"/>
  <c r="BA227" s="1"/>
  <c r="BB227" s="1"/>
  <c r="BD227" s="1"/>
  <c r="AJ225"/>
  <c r="AZ225"/>
  <c r="BA225" s="1"/>
  <c r="BB225" s="1"/>
  <c r="BD225" s="1"/>
  <c r="AJ223"/>
  <c r="AZ223"/>
  <c r="BA223" s="1"/>
  <c r="BB223" s="1"/>
  <c r="BD223" s="1"/>
  <c r="AJ221"/>
  <c r="AZ221"/>
  <c r="BA221" s="1"/>
  <c r="BB221" s="1"/>
  <c r="BD221" s="1"/>
  <c r="AJ219"/>
  <c r="AZ219"/>
  <c r="BA219" s="1"/>
  <c r="BB219" s="1"/>
  <c r="BD219" s="1"/>
  <c r="AJ217"/>
  <c r="AZ217"/>
  <c r="BA217" s="1"/>
  <c r="BB217" s="1"/>
  <c r="BD217" s="1"/>
  <c r="AJ215"/>
  <c r="AZ215"/>
  <c r="BA215" s="1"/>
  <c r="BB215" s="1"/>
  <c r="BD215" s="1"/>
  <c r="AJ213"/>
  <c r="AZ213"/>
  <c r="BA213" s="1"/>
  <c r="BB213" s="1"/>
  <c r="BD213" s="1"/>
  <c r="AJ211"/>
  <c r="AZ211"/>
  <c r="BA211" s="1"/>
  <c r="BB211" s="1"/>
  <c r="BD211" s="1"/>
  <c r="AJ209"/>
  <c r="AZ209"/>
  <c r="BA209" s="1"/>
  <c r="BB209" s="1"/>
  <c r="BD209" s="1"/>
  <c r="AJ207"/>
  <c r="AZ207"/>
  <c r="BA207" s="1"/>
  <c r="BB207" s="1"/>
  <c r="AJ205"/>
  <c r="AZ205"/>
  <c r="BA205" s="1"/>
  <c r="BB205" s="1"/>
  <c r="BD205" s="1"/>
  <c r="AJ203"/>
  <c r="AZ203"/>
  <c r="BA203" s="1"/>
  <c r="BB203" s="1"/>
  <c r="BD203" s="1"/>
  <c r="AJ201"/>
  <c r="AZ201"/>
  <c r="BA201" s="1"/>
  <c r="BB201" s="1"/>
  <c r="BD201" s="1"/>
  <c r="AJ199"/>
  <c r="AZ199"/>
  <c r="BA199" s="1"/>
  <c r="BB199" s="1"/>
  <c r="BD199" s="1"/>
  <c r="AJ197"/>
  <c r="AZ197"/>
  <c r="BA197" s="1"/>
  <c r="BB197" s="1"/>
  <c r="BD197" s="1"/>
  <c r="AJ195"/>
  <c r="AZ195"/>
  <c r="BA195" s="1"/>
  <c r="BB195" s="1"/>
  <c r="BD195" s="1"/>
  <c r="AJ193"/>
  <c r="AZ193"/>
  <c r="BA193" s="1"/>
  <c r="BB193" s="1"/>
  <c r="BD193" s="1"/>
  <c r="AJ191"/>
  <c r="AZ191"/>
  <c r="BA191" s="1"/>
  <c r="BB191" s="1"/>
  <c r="BD191" s="1"/>
  <c r="AJ189"/>
  <c r="AZ189"/>
  <c r="BA189" s="1"/>
  <c r="BB189" s="1"/>
  <c r="BD189" s="1"/>
  <c r="AJ187"/>
  <c r="AZ187"/>
  <c r="BA187" s="1"/>
  <c r="BB187" s="1"/>
  <c r="BD187" s="1"/>
  <c r="AJ185"/>
  <c r="AZ185"/>
  <c r="AJ183"/>
  <c r="AZ183"/>
  <c r="BA183" s="1"/>
  <c r="BB183" s="1"/>
  <c r="BD183" s="1"/>
  <c r="AJ181"/>
  <c r="AZ181"/>
  <c r="BA181" s="1"/>
  <c r="BB181" s="1"/>
  <c r="BD181" s="1"/>
  <c r="AZ122"/>
  <c r="AJ122"/>
  <c r="AJ118"/>
  <c r="AZ118"/>
  <c r="AZ167"/>
  <c r="BA167" s="1"/>
  <c r="BB167" s="1"/>
  <c r="AJ167"/>
  <c r="AZ157"/>
  <c r="BA157" s="1"/>
  <c r="BB157" s="1"/>
  <c r="BD157" s="1"/>
  <c r="AJ157"/>
  <c r="AZ139"/>
  <c r="BA139" s="1"/>
  <c r="BB139" s="1"/>
  <c r="BD139" s="1"/>
  <c r="AJ139"/>
  <c r="AZ135"/>
  <c r="BA135" s="1"/>
  <c r="BB135" s="1"/>
  <c r="BD135" s="1"/>
  <c r="AJ135"/>
  <c r="AZ125"/>
  <c r="BA125" s="1"/>
  <c r="BB125" s="1"/>
  <c r="BD125" s="1"/>
  <c r="AJ125"/>
  <c r="AJ115"/>
  <c r="AZ115"/>
  <c r="AJ112"/>
  <c r="AZ112"/>
  <c r="AZ176"/>
  <c r="BA176" s="1"/>
  <c r="BB176" s="1"/>
  <c r="BD176" s="1"/>
  <c r="AJ176"/>
  <c r="AZ172"/>
  <c r="BA172" s="1"/>
  <c r="BB172" s="1"/>
  <c r="BD172" s="1"/>
  <c r="AJ172"/>
  <c r="AZ160"/>
  <c r="BA160" s="1"/>
  <c r="BB160" s="1"/>
  <c r="BD160" s="1"/>
  <c r="AJ160"/>
  <c r="AZ156"/>
  <c r="BA156" s="1"/>
  <c r="BB156" s="1"/>
  <c r="BD156" s="1"/>
  <c r="AJ156"/>
  <c r="AZ146"/>
  <c r="BA146" s="1"/>
  <c r="BB146" s="1"/>
  <c r="BD146" s="1"/>
  <c r="AJ146"/>
  <c r="AJ138"/>
  <c r="AJ130"/>
  <c r="AZ65"/>
  <c r="AZ9" i="4"/>
  <c r="AJ9"/>
  <c r="AK9" s="1"/>
  <c r="AL9" s="1"/>
  <c r="AN9" s="1"/>
  <c r="AJ35" i="2"/>
  <c r="AZ35"/>
  <c r="AJ31"/>
  <c r="AZ31"/>
  <c r="AJ26"/>
  <c r="AZ26"/>
  <c r="AJ20"/>
  <c r="AZ20"/>
  <c r="AJ16"/>
  <c r="AZ16"/>
  <c r="AJ12"/>
  <c r="AJ8"/>
  <c r="AJ4"/>
  <c r="AZ4"/>
  <c r="AZ61" i="6"/>
  <c r="AZ58"/>
  <c r="AZ53"/>
  <c r="AZ50"/>
  <c r="AZ45"/>
  <c r="AZ42"/>
  <c r="AZ37"/>
  <c r="AZ34"/>
  <c r="AZ29"/>
  <c r="AZ26"/>
  <c r="AZ21"/>
  <c r="AZ18"/>
  <c r="AZ13"/>
  <c r="AZ10"/>
  <c r="AZ5"/>
  <c r="AJ20" i="3"/>
  <c r="AZ20"/>
  <c r="BA20" s="1"/>
  <c r="BB20" s="1"/>
  <c r="BD20" s="1"/>
  <c r="AJ16"/>
  <c r="AZ16"/>
  <c r="BA16" s="1"/>
  <c r="BB16" s="1"/>
  <c r="BD16" s="1"/>
  <c r="AJ12"/>
  <c r="AZ12"/>
  <c r="BA12" s="1"/>
  <c r="BB12" s="1"/>
  <c r="BD12" s="1"/>
  <c r="AZ10" i="4"/>
  <c r="AJ10"/>
  <c r="AK10" s="1"/>
  <c r="AL10" s="1"/>
  <c r="AN10" s="1"/>
  <c r="AZ73" i="19"/>
  <c r="AZ65"/>
  <c r="AZ60"/>
  <c r="AZ54"/>
  <c r="AZ76"/>
  <c r="AZ71"/>
  <c r="AZ46"/>
  <c r="AJ39"/>
  <c r="AZ39"/>
  <c r="AJ31"/>
  <c r="AK31" s="1"/>
  <c r="AL31" s="1"/>
  <c r="AN31" s="1"/>
  <c r="AZ31"/>
  <c r="AZ49" i="18"/>
  <c r="AJ49"/>
  <c r="AZ45"/>
  <c r="AJ45"/>
  <c r="AZ32"/>
  <c r="AJ32"/>
  <c r="AJ17" i="19"/>
  <c r="AK17" s="1"/>
  <c r="AL17" s="1"/>
  <c r="AN17" s="1"/>
  <c r="AZ17"/>
  <c r="AJ28"/>
  <c r="AK28" s="1"/>
  <c r="AL28" s="1"/>
  <c r="AZ28"/>
  <c r="AJ28" i="14"/>
  <c r="AZ28"/>
  <c r="AJ20"/>
  <c r="AZ20"/>
  <c r="AJ42" i="13"/>
  <c r="AZ42"/>
  <c r="AJ40"/>
  <c r="AZ40"/>
  <c r="AJ28"/>
  <c r="AZ28"/>
  <c r="AJ21"/>
  <c r="AZ21"/>
  <c r="AJ14"/>
  <c r="AZ14"/>
  <c r="AJ12"/>
  <c r="AZ12"/>
  <c r="AZ11" i="11"/>
  <c r="AJ11"/>
  <c r="AZ44"/>
  <c r="AJ44"/>
  <c r="AZ40"/>
  <c r="AJ40"/>
  <c r="AZ31"/>
  <c r="AJ31"/>
  <c r="AZ24"/>
  <c r="AJ24"/>
  <c r="AZ15"/>
  <c r="AJ15"/>
  <c r="AJ30"/>
  <c r="AZ23"/>
  <c r="AJ23"/>
  <c r="AJ35" i="10"/>
  <c r="AZ35"/>
  <c r="BA35" s="1"/>
  <c r="BB35" s="1"/>
  <c r="BD35" s="1"/>
  <c r="AJ12" i="11"/>
  <c r="AZ12"/>
  <c r="AJ259" i="6"/>
  <c r="AZ259"/>
  <c r="BA259" s="1"/>
  <c r="BB259" s="1"/>
  <c r="BD259" s="1"/>
  <c r="AJ257"/>
  <c r="AZ257"/>
  <c r="BA257" s="1"/>
  <c r="BB257" s="1"/>
  <c r="BD257" s="1"/>
  <c r="AJ255"/>
  <c r="AZ255"/>
  <c r="BA255" s="1"/>
  <c r="BB255" s="1"/>
  <c r="BD255" s="1"/>
  <c r="AJ253"/>
  <c r="AZ253"/>
  <c r="BA253" s="1"/>
  <c r="BB253" s="1"/>
  <c r="BD253" s="1"/>
  <c r="AJ251"/>
  <c r="AZ251"/>
  <c r="BA251" s="1"/>
  <c r="BB251" s="1"/>
  <c r="BD251" s="1"/>
  <c r="AJ249"/>
  <c r="AZ249"/>
  <c r="BA249" s="1"/>
  <c r="BB249" s="1"/>
  <c r="BD249" s="1"/>
  <c r="AJ121"/>
  <c r="AZ121"/>
  <c r="AJ117"/>
  <c r="AZ117"/>
  <c r="AJ109"/>
  <c r="AZ109"/>
  <c r="BA109" s="1"/>
  <c r="BB109" s="1"/>
  <c r="BD109" s="1"/>
  <c r="AZ163"/>
  <c r="BA163" s="1"/>
  <c r="BB163" s="1"/>
  <c r="BD163" s="1"/>
  <c r="AJ163"/>
  <c r="AZ159"/>
  <c r="BA159" s="1"/>
  <c r="BB159" s="1"/>
  <c r="BD159" s="1"/>
  <c r="AJ159"/>
  <c r="AZ149"/>
  <c r="BA149" s="1"/>
  <c r="BB149" s="1"/>
  <c r="BD149" s="1"/>
  <c r="AJ149"/>
  <c r="AZ131"/>
  <c r="BA131" s="1"/>
  <c r="BB131" s="1"/>
  <c r="BD131" s="1"/>
  <c r="AJ131"/>
  <c r="AZ127"/>
  <c r="BA127" s="1"/>
  <c r="BB127" s="1"/>
  <c r="BD127" s="1"/>
  <c r="AJ127"/>
  <c r="AZ116"/>
  <c r="AJ116"/>
  <c r="AZ106"/>
  <c r="BA106" s="1"/>
  <c r="BB106" s="1"/>
  <c r="BD106" s="1"/>
  <c r="AJ106"/>
  <c r="AZ168"/>
  <c r="BA168" s="1"/>
  <c r="BB168" s="1"/>
  <c r="BD168" s="1"/>
  <c r="AJ168"/>
  <c r="AZ177"/>
  <c r="BA177" s="1"/>
  <c r="BB177" s="1"/>
  <c r="BD177" s="1"/>
  <c r="AJ177"/>
  <c r="AZ68"/>
  <c r="AJ68"/>
  <c r="AJ34" i="2"/>
  <c r="AZ34"/>
  <c r="AJ23"/>
  <c r="AZ23"/>
  <c r="AJ19"/>
  <c r="AZ19"/>
  <c r="AJ15"/>
  <c r="AJ11"/>
  <c r="AJ7"/>
  <c r="AZ59" i="6"/>
  <c r="AZ56"/>
  <c r="AZ51"/>
  <c r="AZ48"/>
  <c r="AZ43"/>
  <c r="AZ40"/>
  <c r="AZ35"/>
  <c r="AZ32"/>
  <c r="AZ27"/>
  <c r="AZ24"/>
  <c r="AZ19"/>
  <c r="AZ16"/>
  <c r="AZ11"/>
  <c r="AZ8"/>
  <c r="AJ21" i="3"/>
  <c r="AZ21"/>
  <c r="BA21" s="1"/>
  <c r="BB21" s="1"/>
  <c r="BD21" s="1"/>
  <c r="AJ17"/>
  <c r="AZ17"/>
  <c r="BA17" s="1"/>
  <c r="BB17" s="1"/>
  <c r="BD17" s="1"/>
  <c r="AJ13"/>
  <c r="AZ13"/>
  <c r="BA13" s="1"/>
  <c r="BB13" s="1"/>
  <c r="BD13" s="1"/>
  <c r="AZ56" i="19"/>
  <c r="AZ63"/>
  <c r="AZ48"/>
  <c r="AZ68"/>
  <c r="AZ77"/>
  <c r="AJ24"/>
  <c r="AK24" s="1"/>
  <c r="AL24" s="1"/>
  <c r="AN24" s="1"/>
  <c r="AZ24"/>
  <c r="AJ15"/>
  <c r="AK15" s="1"/>
  <c r="AL15" s="1"/>
  <c r="AN15" s="1"/>
  <c r="AZ15"/>
  <c r="AJ27" i="14"/>
  <c r="AZ27"/>
  <c r="AJ19"/>
  <c r="AZ19"/>
  <c r="AJ7"/>
  <c r="AZ7"/>
  <c r="BA7" s="1"/>
  <c r="BB7" s="1"/>
  <c r="BD7" s="1"/>
  <c r="AJ30"/>
  <c r="AK30" s="1"/>
  <c r="AL30" s="1"/>
  <c r="AZ6"/>
  <c r="AJ6"/>
  <c r="AZ15"/>
  <c r="AJ15"/>
  <c r="AJ43" i="13"/>
  <c r="AZ43"/>
  <c r="AJ38"/>
  <c r="AZ38"/>
  <c r="AJ36"/>
  <c r="AZ36"/>
  <c r="AJ15"/>
  <c r="AZ15"/>
  <c r="AJ8"/>
  <c r="AZ8"/>
  <c r="AJ6"/>
  <c r="AZ6"/>
  <c r="AJ8" i="11"/>
  <c r="AZ8"/>
  <c r="AJ17"/>
  <c r="AJ49"/>
  <c r="AJ42"/>
  <c r="AJ33"/>
  <c r="AJ26"/>
  <c r="AJ41"/>
  <c r="AZ32"/>
  <c r="AJ32"/>
  <c r="AJ25"/>
  <c r="AZ19"/>
  <c r="AJ19"/>
  <c r="AJ24" i="10"/>
  <c r="AZ24"/>
  <c r="BA24" s="1"/>
  <c r="BB24" s="1"/>
  <c r="AJ22"/>
  <c r="AZ22"/>
  <c r="AZ16" i="11"/>
  <c r="AJ16"/>
  <c r="AJ34"/>
  <c r="AJ244" i="6"/>
  <c r="AZ244"/>
  <c r="BA244" s="1"/>
  <c r="BB244" s="1"/>
  <c r="BD244" s="1"/>
  <c r="AJ242"/>
  <c r="AZ242"/>
  <c r="BA242" s="1"/>
  <c r="BB242" s="1"/>
  <c r="BD242" s="1"/>
  <c r="AJ240"/>
  <c r="AZ240"/>
  <c r="BA240" s="1"/>
  <c r="BB240" s="1"/>
  <c r="BD240" s="1"/>
  <c r="AJ238"/>
  <c r="AZ238"/>
  <c r="BA238" s="1"/>
  <c r="BB238" s="1"/>
  <c r="BD238" s="1"/>
  <c r="AJ236"/>
  <c r="AZ236"/>
  <c r="BA236" s="1"/>
  <c r="BB236" s="1"/>
  <c r="BD236" s="1"/>
  <c r="AJ234"/>
  <c r="AZ234"/>
  <c r="BA234" s="1"/>
  <c r="BB234" s="1"/>
  <c r="BD234" s="1"/>
  <c r="AJ232"/>
  <c r="AZ232"/>
  <c r="BA232" s="1"/>
  <c r="BB232" s="1"/>
  <c r="BD232" s="1"/>
  <c r="AJ230"/>
  <c r="AZ230"/>
  <c r="BA230" s="1"/>
  <c r="BB230" s="1"/>
  <c r="BD230" s="1"/>
  <c r="AJ228"/>
  <c r="AZ228"/>
  <c r="BA228" s="1"/>
  <c r="BB228" s="1"/>
  <c r="BD228" s="1"/>
  <c r="AJ226"/>
  <c r="AZ226"/>
  <c r="BA226" s="1"/>
  <c r="BB226" s="1"/>
  <c r="BD226" s="1"/>
  <c r="AJ224"/>
  <c r="AZ224"/>
  <c r="BA224" s="1"/>
  <c r="BB224" s="1"/>
  <c r="BD224" s="1"/>
  <c r="AJ222"/>
  <c r="AZ222"/>
  <c r="BA222" s="1"/>
  <c r="BB222" s="1"/>
  <c r="BD222" s="1"/>
  <c r="AJ220"/>
  <c r="AZ220"/>
  <c r="BA220" s="1"/>
  <c r="BB220" s="1"/>
  <c r="BD220" s="1"/>
  <c r="AJ218"/>
  <c r="AZ218"/>
  <c r="BA218" s="1"/>
  <c r="BB218" s="1"/>
  <c r="BD218" s="1"/>
  <c r="AJ216"/>
  <c r="AZ216"/>
  <c r="BA216" s="1"/>
  <c r="BB216" s="1"/>
  <c r="BD216" s="1"/>
  <c r="AJ214"/>
  <c r="AZ214"/>
  <c r="BA214" s="1"/>
  <c r="BB214" s="1"/>
  <c r="BD214" s="1"/>
  <c r="AJ212"/>
  <c r="AZ212"/>
  <c r="BA212" s="1"/>
  <c r="BB212" s="1"/>
  <c r="BD212" s="1"/>
  <c r="AJ210"/>
  <c r="AZ210"/>
  <c r="BA210" s="1"/>
  <c r="BB210" s="1"/>
  <c r="BD210" s="1"/>
  <c r="AJ208"/>
  <c r="AZ208"/>
  <c r="BA208" s="1"/>
  <c r="BB208" s="1"/>
  <c r="BD208" s="1"/>
  <c r="AJ206"/>
  <c r="AZ206"/>
  <c r="BA206" s="1"/>
  <c r="BB206" s="1"/>
  <c r="BD206" s="1"/>
  <c r="AJ204"/>
  <c r="AZ204"/>
  <c r="BA204" s="1"/>
  <c r="BB204" s="1"/>
  <c r="BD204" s="1"/>
  <c r="AJ202"/>
  <c r="AZ202"/>
  <c r="BA202" s="1"/>
  <c r="BB202" s="1"/>
  <c r="BD202" s="1"/>
  <c r="AJ200"/>
  <c r="AZ200"/>
  <c r="BA200" s="1"/>
  <c r="BB200" s="1"/>
  <c r="BD200" s="1"/>
  <c r="AJ198"/>
  <c r="AZ198"/>
  <c r="BA198" s="1"/>
  <c r="BB198" s="1"/>
  <c r="BD198" s="1"/>
  <c r="AJ196"/>
  <c r="AZ196"/>
  <c r="BA196" s="1"/>
  <c r="BB196" s="1"/>
  <c r="BD196" s="1"/>
  <c r="AJ194"/>
  <c r="AZ194"/>
  <c r="BA194" s="1"/>
  <c r="BB194" s="1"/>
  <c r="BD194" s="1"/>
  <c r="AJ192"/>
  <c r="AZ192"/>
  <c r="BA192" s="1"/>
  <c r="BB192" s="1"/>
  <c r="BD192" s="1"/>
  <c r="AJ190"/>
  <c r="AZ190"/>
  <c r="BA190" s="1"/>
  <c r="BB190" s="1"/>
  <c r="BD190" s="1"/>
  <c r="AJ188"/>
  <c r="AZ188"/>
  <c r="BA188" s="1"/>
  <c r="BB188" s="1"/>
  <c r="BD188" s="1"/>
  <c r="AJ186"/>
  <c r="AZ186"/>
  <c r="BA186" s="1"/>
  <c r="BB186" s="1"/>
  <c r="BD186" s="1"/>
  <c r="AJ184"/>
  <c r="AZ184"/>
  <c r="BA184" s="1"/>
  <c r="BB184" s="1"/>
  <c r="BD184" s="1"/>
  <c r="AJ182"/>
  <c r="AZ182"/>
  <c r="BA182" s="1"/>
  <c r="BB182" s="1"/>
  <c r="BD182" s="1"/>
  <c r="AJ180"/>
  <c r="AZ180"/>
  <c r="BA180" s="1"/>
  <c r="BB180" s="1"/>
  <c r="BD180" s="1"/>
  <c r="AJ120"/>
  <c r="AZ120"/>
  <c r="AZ155"/>
  <c r="BA155" s="1"/>
  <c r="BB155" s="1"/>
  <c r="BD155" s="1"/>
  <c r="AJ155"/>
  <c r="AZ151"/>
  <c r="BA151" s="1"/>
  <c r="BB151" s="1"/>
  <c r="BD151" s="1"/>
  <c r="AJ151"/>
  <c r="AZ141"/>
  <c r="BA141" s="1"/>
  <c r="BB141" s="1"/>
  <c r="BD141" s="1"/>
  <c r="AJ141"/>
  <c r="AZ123"/>
  <c r="BA123" s="1"/>
  <c r="BB123" s="1"/>
  <c r="BD123" s="1"/>
  <c r="AJ123"/>
  <c r="AJ113"/>
  <c r="AZ113"/>
  <c r="AZ108"/>
  <c r="BA108" s="1"/>
  <c r="BB108" s="1"/>
  <c r="BD108" s="1"/>
  <c r="AJ108"/>
  <c r="AZ178"/>
  <c r="BA178" s="1"/>
  <c r="BB178" s="1"/>
  <c r="BD178" s="1"/>
  <c r="AJ178"/>
  <c r="AZ162"/>
  <c r="BA162" s="1"/>
  <c r="BB162" s="1"/>
  <c r="BD162" s="1"/>
  <c r="AJ162"/>
  <c r="AZ154"/>
  <c r="BA154" s="1"/>
  <c r="BB154" s="1"/>
  <c r="BD154" s="1"/>
  <c r="AJ154"/>
  <c r="AZ148"/>
  <c r="BA148" s="1"/>
  <c r="BB148" s="1"/>
  <c r="BD148" s="1"/>
  <c r="AJ148"/>
  <c r="AZ144"/>
  <c r="BA144" s="1"/>
  <c r="BB144" s="1"/>
  <c r="BD144" s="1"/>
  <c r="AJ144"/>
  <c r="AZ140"/>
  <c r="BA140" s="1"/>
  <c r="BB140" s="1"/>
  <c r="BD140" s="1"/>
  <c r="AJ140"/>
  <c r="AZ136"/>
  <c r="BA136" s="1"/>
  <c r="BB136" s="1"/>
  <c r="BD136" s="1"/>
  <c r="AJ136"/>
  <c r="AZ132"/>
  <c r="BA132" s="1"/>
  <c r="BB132" s="1"/>
  <c r="BD132" s="1"/>
  <c r="AJ132"/>
  <c r="AZ128"/>
  <c r="BA128" s="1"/>
  <c r="BB128" s="1"/>
  <c r="BD128" s="1"/>
  <c r="AJ128"/>
  <c r="AZ124"/>
  <c r="BA124" s="1"/>
  <c r="BB124" s="1"/>
  <c r="BD124" s="1"/>
  <c r="AJ124"/>
  <c r="AZ179"/>
  <c r="BA179" s="1"/>
  <c r="BB179" s="1"/>
  <c r="BD179" s="1"/>
  <c r="AJ179"/>
  <c r="AZ169"/>
  <c r="BA169" s="1"/>
  <c r="BB169" s="1"/>
  <c r="BD169" s="1"/>
  <c r="AJ169"/>
  <c r="AZ66"/>
  <c r="AJ66"/>
  <c r="AJ33" i="2"/>
  <c r="AZ33"/>
  <c r="AJ22"/>
  <c r="AZ22"/>
  <c r="AJ18"/>
  <c r="AZ18"/>
  <c r="AJ14"/>
  <c r="AJ10"/>
  <c r="AJ6"/>
  <c r="AZ62" i="6"/>
  <c r="AZ57"/>
  <c r="AZ54"/>
  <c r="AZ49"/>
  <c r="AZ46"/>
  <c r="AZ41"/>
  <c r="AZ38"/>
  <c r="AZ33"/>
  <c r="AZ30"/>
  <c r="AZ25"/>
  <c r="AZ22"/>
  <c r="AZ17"/>
  <c r="AZ14"/>
  <c r="AZ9"/>
  <c r="AZ6"/>
  <c r="AJ18" i="3"/>
  <c r="AZ18"/>
  <c r="BA18" s="1"/>
  <c r="BB18" s="1"/>
  <c r="BD18" s="1"/>
  <c r="AJ14"/>
  <c r="AZ14"/>
  <c r="BA14" s="1"/>
  <c r="BB14" s="1"/>
  <c r="BD14" s="1"/>
  <c r="AJ10"/>
  <c r="AZ10"/>
  <c r="AJ40" i="19"/>
  <c r="AZ40"/>
  <c r="AJ6"/>
  <c r="AZ6"/>
  <c r="V34"/>
  <c r="W34" s="1"/>
  <c r="X34" s="1"/>
  <c r="V44" i="18"/>
  <c r="W44" s="1"/>
  <c r="X44" s="1"/>
  <c r="V53"/>
  <c r="W53"/>
  <c r="X53" s="1"/>
  <c r="V24"/>
  <c r="W24"/>
  <c r="X24" s="1"/>
  <c r="V20"/>
  <c r="W20" s="1"/>
  <c r="X20" s="1"/>
  <c r="X16"/>
  <c r="V16"/>
  <c r="W16"/>
  <c r="V12"/>
  <c r="W12" s="1"/>
  <c r="X12" s="1"/>
  <c r="V8"/>
  <c r="W8"/>
  <c r="X8" s="1"/>
  <c r="V4"/>
  <c r="W4" s="1"/>
  <c r="X4" s="1"/>
  <c r="AJ29" i="19"/>
  <c r="AK29" s="1"/>
  <c r="AL29" s="1"/>
  <c r="AN29" s="1"/>
  <c r="AZ29"/>
  <c r="BC20"/>
  <c r="BD20" s="1"/>
  <c r="AZ35" i="18"/>
  <c r="V33"/>
  <c r="W33"/>
  <c r="X33" s="1"/>
  <c r="V31"/>
  <c r="W31" s="1"/>
  <c r="X31" s="1"/>
  <c r="W29"/>
  <c r="X29" s="1"/>
  <c r="V29"/>
  <c r="AZ29" i="14"/>
  <c r="AJ29"/>
  <c r="AK29" s="1"/>
  <c r="AL29" s="1"/>
  <c r="AN29" s="1"/>
  <c r="V23" i="13"/>
  <c r="W23"/>
  <c r="X23"/>
  <c r="AJ17" i="14"/>
  <c r="AZ17"/>
  <c r="AZ16"/>
  <c r="AJ16"/>
  <c r="AZ14"/>
  <c r="AJ14"/>
  <c r="AZ5"/>
  <c r="AJ5"/>
  <c r="AJ41" i="13"/>
  <c r="AZ41"/>
  <c r="AJ37"/>
  <c r="AZ37"/>
  <c r="AJ33"/>
  <c r="AZ33"/>
  <c r="AJ29"/>
  <c r="AZ29"/>
  <c r="AJ25"/>
  <c r="AZ25"/>
  <c r="AJ18"/>
  <c r="AZ18"/>
  <c r="AJ13"/>
  <c r="AZ13"/>
  <c r="AJ7"/>
  <c r="AK7" s="1"/>
  <c r="AL7" s="1"/>
  <c r="AN7" s="1"/>
  <c r="AZ7"/>
  <c r="BC5" i="11"/>
  <c r="BD5" s="1"/>
  <c r="V56" i="10"/>
  <c r="W56" s="1"/>
  <c r="X56" s="1"/>
  <c r="V47"/>
  <c r="W47" s="1"/>
  <c r="X47" s="1"/>
  <c r="W43"/>
  <c r="X43" s="1"/>
  <c r="V43"/>
  <c r="V32"/>
  <c r="W32" s="1"/>
  <c r="X32" s="1"/>
  <c r="X29"/>
  <c r="W29"/>
  <c r="V29"/>
  <c r="X19"/>
  <c r="W19"/>
  <c r="V19"/>
  <c r="W16"/>
  <c r="X16" s="1"/>
  <c r="V16"/>
  <c r="V10"/>
  <c r="W10" s="1"/>
  <c r="X10" s="1"/>
  <c r="V52"/>
  <c r="W52" s="1"/>
  <c r="X52" s="1"/>
  <c r="V59"/>
  <c r="X59"/>
  <c r="W59"/>
  <c r="V51" i="7"/>
  <c r="W51" s="1"/>
  <c r="X51" s="1"/>
  <c r="V47"/>
  <c r="W47"/>
  <c r="X47" s="1"/>
  <c r="V43"/>
  <c r="W43"/>
  <c r="X43"/>
  <c r="V39"/>
  <c r="W39"/>
  <c r="X39" s="1"/>
  <c r="V35"/>
  <c r="W35" s="1"/>
  <c r="X35" s="1"/>
  <c r="V31"/>
  <c r="W31"/>
  <c r="X31" s="1"/>
  <c r="V27"/>
  <c r="W27" s="1"/>
  <c r="X27" s="1"/>
  <c r="V23"/>
  <c r="W23"/>
  <c r="X23" s="1"/>
  <c r="V19"/>
  <c r="W19" s="1"/>
  <c r="X19" s="1"/>
  <c r="V15"/>
  <c r="W15"/>
  <c r="X15" s="1"/>
  <c r="V11"/>
  <c r="W11" s="1"/>
  <c r="X11" s="1"/>
  <c r="V7"/>
  <c r="W7"/>
  <c r="X7" s="1"/>
  <c r="V4"/>
  <c r="W4" s="1"/>
  <c r="X4" s="1"/>
  <c r="V311" i="6"/>
  <c r="W311" s="1"/>
  <c r="X311" s="1"/>
  <c r="X307"/>
  <c r="V307"/>
  <c r="W307"/>
  <c r="V303"/>
  <c r="W303" s="1"/>
  <c r="X303" s="1"/>
  <c r="V300"/>
  <c r="W300"/>
  <c r="X300" s="1"/>
  <c r="V298"/>
  <c r="W298" s="1"/>
  <c r="X298" s="1"/>
  <c r="X296"/>
  <c r="V296"/>
  <c r="W296"/>
  <c r="V294"/>
  <c r="W294" s="1"/>
  <c r="X294" s="1"/>
  <c r="AJ14" i="11"/>
  <c r="AJ38" i="10"/>
  <c r="AZ38"/>
  <c r="AJ23"/>
  <c r="AZ23"/>
  <c r="BA23" s="1"/>
  <c r="BB23" s="1"/>
  <c r="BD23" s="1"/>
  <c r="AJ17"/>
  <c r="AZ17"/>
  <c r="AJ14"/>
  <c r="AZ14"/>
  <c r="BA14" s="1"/>
  <c r="BB14" s="1"/>
  <c r="V316" i="6"/>
  <c r="W316" s="1"/>
  <c r="X316" s="1"/>
  <c r="AJ315"/>
  <c r="AZ315"/>
  <c r="V54" i="10"/>
  <c r="W54" s="1"/>
  <c r="X54" s="1"/>
  <c r="AZ247" i="6"/>
  <c r="BA247" s="1"/>
  <c r="BB247" s="1"/>
  <c r="V105"/>
  <c r="W105" s="1"/>
  <c r="X105" s="1"/>
  <c r="V101"/>
  <c r="W101"/>
  <c r="X101" s="1"/>
  <c r="V97"/>
  <c r="W97" s="1"/>
  <c r="X97" s="1"/>
  <c r="V93"/>
  <c r="W93"/>
  <c r="X93" s="1"/>
  <c r="V89"/>
  <c r="W89"/>
  <c r="X89"/>
  <c r="V85"/>
  <c r="W85"/>
  <c r="X85" s="1"/>
  <c r="V81"/>
  <c r="W81" s="1"/>
  <c r="X81" s="1"/>
  <c r="V77"/>
  <c r="W77"/>
  <c r="X77" s="1"/>
  <c r="V73"/>
  <c r="W73" s="1"/>
  <c r="X73" s="1"/>
  <c r="V69"/>
  <c r="W69"/>
  <c r="X69" s="1"/>
  <c r="V7" i="3"/>
  <c r="W7" s="1"/>
  <c r="X7" s="1"/>
  <c r="AJ30"/>
  <c r="AZ30"/>
  <c r="BA30" s="1"/>
  <c r="BB30" s="1"/>
  <c r="BD30" s="1"/>
  <c r="AJ28"/>
  <c r="AZ28"/>
  <c r="BA28" s="1"/>
  <c r="BB28" s="1"/>
  <c r="BD28" s="1"/>
  <c r="AJ26"/>
  <c r="AZ26"/>
  <c r="BA26" s="1"/>
  <c r="BB26" s="1"/>
  <c r="BD26" s="1"/>
  <c r="AJ24"/>
  <c r="AZ24"/>
  <c r="BA24" s="1"/>
  <c r="BB24" s="1"/>
  <c r="BD24" s="1"/>
  <c r="AJ22"/>
  <c r="AZ22"/>
  <c r="BA22" s="1"/>
  <c r="BB22" s="1"/>
  <c r="BD22" s="1"/>
  <c r="AJ72" i="2"/>
  <c r="AZ72"/>
  <c r="AJ68"/>
  <c r="AZ68"/>
  <c r="AJ64"/>
  <c r="AZ64"/>
  <c r="AJ60"/>
  <c r="AZ60"/>
  <c r="AJ56"/>
  <c r="AZ56"/>
  <c r="AJ52"/>
  <c r="AZ52"/>
  <c r="AJ48"/>
  <c r="AZ48"/>
  <c r="AJ44"/>
  <c r="AZ44"/>
  <c r="AJ40"/>
  <c r="AZ40"/>
  <c r="AJ36"/>
  <c r="AZ36"/>
  <c r="AJ30"/>
  <c r="AZ30"/>
  <c r="AJ29"/>
  <c r="AZ29"/>
  <c r="AJ28"/>
  <c r="AZ28"/>
  <c r="AJ25"/>
  <c r="AZ25"/>
  <c r="AJ24"/>
  <c r="AZ24"/>
  <c r="BA73" i="19"/>
  <c r="BB73" s="1"/>
  <c r="BD73" s="1"/>
  <c r="BA61"/>
  <c r="BB61" s="1"/>
  <c r="BD61" s="1"/>
  <c r="AK40"/>
  <c r="AL40" s="1"/>
  <c r="AN40" s="1"/>
  <c r="AI80"/>
  <c r="AI74"/>
  <c r="AJ74" s="1"/>
  <c r="AK74" s="1"/>
  <c r="AL74" s="1"/>
  <c r="AN74" s="1"/>
  <c r="AI68"/>
  <c r="AJ68" s="1"/>
  <c r="AK68" s="1"/>
  <c r="AL68" s="1"/>
  <c r="AN68" s="1"/>
  <c r="AI62"/>
  <c r="AJ62" s="1"/>
  <c r="AK62" s="1"/>
  <c r="AL62" s="1"/>
  <c r="AN62" s="1"/>
  <c r="AI56"/>
  <c r="AJ56" s="1"/>
  <c r="AK56" s="1"/>
  <c r="AL56" s="1"/>
  <c r="AI50"/>
  <c r="AJ50" s="1"/>
  <c r="AK50" s="1"/>
  <c r="AL50" s="1"/>
  <c r="AN50" s="1"/>
  <c r="BA79"/>
  <c r="BB79" s="1"/>
  <c r="BA72"/>
  <c r="BB72" s="1"/>
  <c r="BD72" s="1"/>
  <c r="BA68"/>
  <c r="BB68" s="1"/>
  <c r="BD68" s="1"/>
  <c r="AY52" i="18"/>
  <c r="AK49"/>
  <c r="AL49" s="1"/>
  <c r="AK45"/>
  <c r="AL45" s="1"/>
  <c r="AN45" s="1"/>
  <c r="AI36"/>
  <c r="AK28" i="14"/>
  <c r="AL28" s="1"/>
  <c r="AK20"/>
  <c r="AL20" s="1"/>
  <c r="AN20" s="1"/>
  <c r="AK9"/>
  <c r="AL9" s="1"/>
  <c r="AK43" i="13"/>
  <c r="AL43" s="1"/>
  <c r="AN43" s="1"/>
  <c r="AK39"/>
  <c r="AL39" s="1"/>
  <c r="AN39" s="1"/>
  <c r="AK35"/>
  <c r="AL35" s="1"/>
  <c r="AN35" s="1"/>
  <c r="AK27"/>
  <c r="AL27" s="1"/>
  <c r="AN27" s="1"/>
  <c r="AK15"/>
  <c r="AL15" s="1"/>
  <c r="AN15" s="1"/>
  <c r="BA43"/>
  <c r="BB43" s="1"/>
  <c r="BD43" s="1"/>
  <c r="BA42"/>
  <c r="BB42" s="1"/>
  <c r="BD42" s="1"/>
  <c r="BA41"/>
  <c r="BB41" s="1"/>
  <c r="BD41" s="1"/>
  <c r="BA40"/>
  <c r="BB40" s="1"/>
  <c r="BD40" s="1"/>
  <c r="BA39"/>
  <c r="BB39" s="1"/>
  <c r="BD39" s="1"/>
  <c r="BA38"/>
  <c r="BB38" s="1"/>
  <c r="BD38" s="1"/>
  <c r="BA37"/>
  <c r="BB37" s="1"/>
  <c r="BD37" s="1"/>
  <c r="BA36"/>
  <c r="BB36" s="1"/>
  <c r="BD36" s="1"/>
  <c r="BA28"/>
  <c r="BB28" s="1"/>
  <c r="BD28" s="1"/>
  <c r="BA20"/>
  <c r="BB20" s="1"/>
  <c r="BD20" s="1"/>
  <c r="BA12"/>
  <c r="BB12" s="1"/>
  <c r="BD12" s="1"/>
  <c r="BA8"/>
  <c r="BB8" s="1"/>
  <c r="BD8" s="1"/>
  <c r="AK48" i="11"/>
  <c r="AL48" s="1"/>
  <c r="AN48" s="1"/>
  <c r="AK46"/>
  <c r="AL46" s="1"/>
  <c r="AN46" s="1"/>
  <c r="AK44"/>
  <c r="AL44" s="1"/>
  <c r="AK42"/>
  <c r="AL42" s="1"/>
  <c r="AK40"/>
  <c r="AL40" s="1"/>
  <c r="AN40" s="1"/>
  <c r="AK38"/>
  <c r="AL38" s="1"/>
  <c r="AN38" s="1"/>
  <c r="AK36"/>
  <c r="AL36" s="1"/>
  <c r="AK34"/>
  <c r="AL34" s="1"/>
  <c r="AN34" s="1"/>
  <c r="AK32"/>
  <c r="AL32" s="1"/>
  <c r="AN32" s="1"/>
  <c r="AK30"/>
  <c r="AL30" s="1"/>
  <c r="AN30" s="1"/>
  <c r="AK28"/>
  <c r="AL28" s="1"/>
  <c r="AN28" s="1"/>
  <c r="AK26"/>
  <c r="AL26" s="1"/>
  <c r="AK24"/>
  <c r="AL24" s="1"/>
  <c r="AN24" s="1"/>
  <c r="AK22"/>
  <c r="AL22" s="1"/>
  <c r="AN22" s="1"/>
  <c r="AK20"/>
  <c r="AL20" s="1"/>
  <c r="AN20" s="1"/>
  <c r="AK18"/>
  <c r="AL18" s="1"/>
  <c r="AK16"/>
  <c r="AL16" s="1"/>
  <c r="AN16" s="1"/>
  <c r="AK14"/>
  <c r="AL14" s="1"/>
  <c r="AN14" s="1"/>
  <c r="AK12"/>
  <c r="AL12" s="1"/>
  <c r="AN12" s="1"/>
  <c r="AK10"/>
  <c r="AL10" s="1"/>
  <c r="AN10" s="1"/>
  <c r="AK8"/>
  <c r="AL8" s="1"/>
  <c r="AN8" s="1"/>
  <c r="AK6"/>
  <c r="AL6" s="1"/>
  <c r="AN6" s="1"/>
  <c r="AK4"/>
  <c r="AL4" s="1"/>
  <c r="AN4" s="1"/>
  <c r="BA13"/>
  <c r="BB13" s="1"/>
  <c r="BD13" s="1"/>
  <c r="BA55" i="10"/>
  <c r="BB55" s="1"/>
  <c r="BD55" s="1"/>
  <c r="AK38"/>
  <c r="AL38" s="1"/>
  <c r="AK26"/>
  <c r="AL26" s="1"/>
  <c r="AK22"/>
  <c r="AL22" s="1"/>
  <c r="AK14"/>
  <c r="AL14" s="1"/>
  <c r="BA38"/>
  <c r="BB38" s="1"/>
  <c r="BA17"/>
  <c r="BB17" s="1"/>
  <c r="AI59"/>
  <c r="AK317" i="6"/>
  <c r="AL317" s="1"/>
  <c r="AN317" s="1"/>
  <c r="AK264"/>
  <c r="AL264" s="1"/>
  <c r="AN264" s="1"/>
  <c r="AK260"/>
  <c r="AL260" s="1"/>
  <c r="AN260" s="1"/>
  <c r="AK256"/>
  <c r="AL256" s="1"/>
  <c r="AN256" s="1"/>
  <c r="AK252"/>
  <c r="AL252" s="1"/>
  <c r="AN252" s="1"/>
  <c r="AK248"/>
  <c r="AL248" s="1"/>
  <c r="AN248" s="1"/>
  <c r="AI247"/>
  <c r="AJ247" s="1"/>
  <c r="AK247" s="1"/>
  <c r="AL247" s="1"/>
  <c r="AK244"/>
  <c r="AL244" s="1"/>
  <c r="AN244" s="1"/>
  <c r="AK243"/>
  <c r="AL243" s="1"/>
  <c r="AN243" s="1"/>
  <c r="AK242"/>
  <c r="AL242" s="1"/>
  <c r="AN242" s="1"/>
  <c r="AK241"/>
  <c r="AL241" s="1"/>
  <c r="AN241" s="1"/>
  <c r="AK240"/>
  <c r="AL240" s="1"/>
  <c r="AN240" s="1"/>
  <c r="AK239"/>
  <c r="AL239" s="1"/>
  <c r="AN239" s="1"/>
  <c r="AK238"/>
  <c r="AL238" s="1"/>
  <c r="AN238" s="1"/>
  <c r="AK237"/>
  <c r="AL237" s="1"/>
  <c r="AN237" s="1"/>
  <c r="AK236"/>
  <c r="AL236" s="1"/>
  <c r="AN236" s="1"/>
  <c r="AK235"/>
  <c r="AL235" s="1"/>
  <c r="AN235" s="1"/>
  <c r="AK234"/>
  <c r="AL234" s="1"/>
  <c r="AN234" s="1"/>
  <c r="AK233"/>
  <c r="AL233" s="1"/>
  <c r="AN233" s="1"/>
  <c r="AK232"/>
  <c r="AL232" s="1"/>
  <c r="AN232" s="1"/>
  <c r="AK231"/>
  <c r="AL231" s="1"/>
  <c r="AN231" s="1"/>
  <c r="AK230"/>
  <c r="AL230" s="1"/>
  <c r="AN230" s="1"/>
  <c r="AK229"/>
  <c r="AL229" s="1"/>
  <c r="AN229" s="1"/>
  <c r="AK228"/>
  <c r="AL228" s="1"/>
  <c r="AN228" s="1"/>
  <c r="AK227"/>
  <c r="AL227" s="1"/>
  <c r="AN227" s="1"/>
  <c r="AK226"/>
  <c r="AL226" s="1"/>
  <c r="AN226" s="1"/>
  <c r="AK225"/>
  <c r="AL225" s="1"/>
  <c r="AN225" s="1"/>
  <c r="AK224"/>
  <c r="AL224" s="1"/>
  <c r="AN224" s="1"/>
  <c r="AK223"/>
  <c r="AL223" s="1"/>
  <c r="AN223" s="1"/>
  <c r="AK222"/>
  <c r="AL222" s="1"/>
  <c r="AN222" s="1"/>
  <c r="AK221"/>
  <c r="AL221" s="1"/>
  <c r="AN221" s="1"/>
  <c r="AK220"/>
  <c r="AL220" s="1"/>
  <c r="AN220" s="1"/>
  <c r="AK219"/>
  <c r="AL219" s="1"/>
  <c r="AN219" s="1"/>
  <c r="AK218"/>
  <c r="AL218" s="1"/>
  <c r="AN218" s="1"/>
  <c r="AK217"/>
  <c r="AL217" s="1"/>
  <c r="AN217" s="1"/>
  <c r="AK216"/>
  <c r="AL216" s="1"/>
  <c r="AN216" s="1"/>
  <c r="AK215"/>
  <c r="AL215" s="1"/>
  <c r="AN215" s="1"/>
  <c r="AK214"/>
  <c r="AL214" s="1"/>
  <c r="AN214" s="1"/>
  <c r="AK213"/>
  <c r="AL213" s="1"/>
  <c r="AN213" s="1"/>
  <c r="AK212"/>
  <c r="AL212" s="1"/>
  <c r="AN212" s="1"/>
  <c r="AK211"/>
  <c r="AL211" s="1"/>
  <c r="AN211" s="1"/>
  <c r="AK210"/>
  <c r="AL210" s="1"/>
  <c r="AN210" s="1"/>
  <c r="AK209"/>
  <c r="AL209" s="1"/>
  <c r="AN209" s="1"/>
  <c r="AK208"/>
  <c r="AL208" s="1"/>
  <c r="AN208" s="1"/>
  <c r="AK207"/>
  <c r="AL207" s="1"/>
  <c r="AK206"/>
  <c r="AL206" s="1"/>
  <c r="AN206" s="1"/>
  <c r="AK205"/>
  <c r="AL205" s="1"/>
  <c r="AN205" s="1"/>
  <c r="AK204"/>
  <c r="AL204" s="1"/>
  <c r="AN204" s="1"/>
  <c r="AK203"/>
  <c r="AL203" s="1"/>
  <c r="AN203" s="1"/>
  <c r="AK202"/>
  <c r="AL202" s="1"/>
  <c r="AN202" s="1"/>
  <c r="AK201"/>
  <c r="AL201" s="1"/>
  <c r="AN201" s="1"/>
  <c r="AK200"/>
  <c r="AL200" s="1"/>
  <c r="AN200" s="1"/>
  <c r="AK199"/>
  <c r="AL199" s="1"/>
  <c r="AN199" s="1"/>
  <c r="AK198"/>
  <c r="AL198" s="1"/>
  <c r="AN198" s="1"/>
  <c r="AK197"/>
  <c r="AL197" s="1"/>
  <c r="AN197" s="1"/>
  <c r="AK196"/>
  <c r="AL196" s="1"/>
  <c r="AN196" s="1"/>
  <c r="AK195"/>
  <c r="AL195" s="1"/>
  <c r="AN195" s="1"/>
  <c r="AK194"/>
  <c r="AL194" s="1"/>
  <c r="AN194" s="1"/>
  <c r="AK193"/>
  <c r="AL193" s="1"/>
  <c r="AN193" s="1"/>
  <c r="AK192"/>
  <c r="AL192" s="1"/>
  <c r="AN192" s="1"/>
  <c r="AK191"/>
  <c r="AL191" s="1"/>
  <c r="AN191" s="1"/>
  <c r="AK190"/>
  <c r="AL190" s="1"/>
  <c r="AN190" s="1"/>
  <c r="AK189"/>
  <c r="AL189" s="1"/>
  <c r="AN189" s="1"/>
  <c r="AK188"/>
  <c r="AL188" s="1"/>
  <c r="AN188" s="1"/>
  <c r="AK187"/>
  <c r="AL187" s="1"/>
  <c r="AN187" s="1"/>
  <c r="AK186"/>
  <c r="AL186" s="1"/>
  <c r="AN186" s="1"/>
  <c r="AK185"/>
  <c r="AL185" s="1"/>
  <c r="AN185" s="1"/>
  <c r="AK184"/>
  <c r="AL184" s="1"/>
  <c r="AN184" s="1"/>
  <c r="AK183"/>
  <c r="AL183" s="1"/>
  <c r="AN183" s="1"/>
  <c r="AK182"/>
  <c r="AL182" s="1"/>
  <c r="AN182" s="1"/>
  <c r="AK181"/>
  <c r="AL181" s="1"/>
  <c r="AN181" s="1"/>
  <c r="AK180"/>
  <c r="AL180" s="1"/>
  <c r="AN180" s="1"/>
  <c r="AK179"/>
  <c r="AL179" s="1"/>
  <c r="AN179" s="1"/>
  <c r="AK175"/>
  <c r="AL175" s="1"/>
  <c r="AN175" s="1"/>
  <c r="AK171"/>
  <c r="AL171" s="1"/>
  <c r="AN171" s="1"/>
  <c r="AK167"/>
  <c r="AL167" s="1"/>
  <c r="AK163"/>
  <c r="AL163" s="1"/>
  <c r="AN163" s="1"/>
  <c r="AK159"/>
  <c r="AL159" s="1"/>
  <c r="AN159" s="1"/>
  <c r="AK155"/>
  <c r="AL155" s="1"/>
  <c r="AN155" s="1"/>
  <c r="AK151"/>
  <c r="AL151" s="1"/>
  <c r="AN151" s="1"/>
  <c r="AK147"/>
  <c r="AL147" s="1"/>
  <c r="AN147" s="1"/>
  <c r="AK144"/>
  <c r="AL144" s="1"/>
  <c r="AN144" s="1"/>
  <c r="AK140"/>
  <c r="AL140" s="1"/>
  <c r="AN140" s="1"/>
  <c r="AK138"/>
  <c r="AL138" s="1"/>
  <c r="AN138" s="1"/>
  <c r="AK136"/>
  <c r="AL136" s="1"/>
  <c r="AN136" s="1"/>
  <c r="AK132"/>
  <c r="AL132" s="1"/>
  <c r="AN132" s="1"/>
  <c r="AK130"/>
  <c r="AL130" s="1"/>
  <c r="AN130" s="1"/>
  <c r="AK128"/>
  <c r="AL128" s="1"/>
  <c r="AN128" s="1"/>
  <c r="AK124"/>
  <c r="AL124" s="1"/>
  <c r="AN124" s="1"/>
  <c r="AK122"/>
  <c r="AL122" s="1"/>
  <c r="AN122" s="1"/>
  <c r="AK120"/>
  <c r="AL120" s="1"/>
  <c r="AN120" s="1"/>
  <c r="AK118"/>
  <c r="AL118" s="1"/>
  <c r="AN118" s="1"/>
  <c r="AK116"/>
  <c r="AL116" s="1"/>
  <c r="AK114"/>
  <c r="AL114" s="1"/>
  <c r="AN114" s="1"/>
  <c r="AK112"/>
  <c r="AL112" s="1"/>
  <c r="AN112" s="1"/>
  <c r="AK110"/>
  <c r="AL110" s="1"/>
  <c r="AN110" s="1"/>
  <c r="AK108"/>
  <c r="AL108" s="1"/>
  <c r="AN108" s="1"/>
  <c r="AK106"/>
  <c r="AL106" s="1"/>
  <c r="AN106" s="1"/>
  <c r="AI64"/>
  <c r="AJ64" s="1"/>
  <c r="AK64" s="1"/>
  <c r="AL64" s="1"/>
  <c r="AN64" s="1"/>
  <c r="AI60"/>
  <c r="AJ60" s="1"/>
  <c r="AK60" s="1"/>
  <c r="AL60" s="1"/>
  <c r="AN60" s="1"/>
  <c r="AI56"/>
  <c r="AJ56" s="1"/>
  <c r="AK56" s="1"/>
  <c r="AL56" s="1"/>
  <c r="AN56" s="1"/>
  <c r="AI52"/>
  <c r="AJ52" s="1"/>
  <c r="AK52" s="1"/>
  <c r="AL52" s="1"/>
  <c r="AN52" s="1"/>
  <c r="AI48"/>
  <c r="AJ48" s="1"/>
  <c r="AK48" s="1"/>
  <c r="AL48" s="1"/>
  <c r="AN48" s="1"/>
  <c r="AI44"/>
  <c r="AJ44" s="1"/>
  <c r="AK44" s="1"/>
  <c r="AL44" s="1"/>
  <c r="AN44" s="1"/>
  <c r="AI40"/>
  <c r="AJ40" s="1"/>
  <c r="AK40" s="1"/>
  <c r="AL40" s="1"/>
  <c r="AN40" s="1"/>
  <c r="AI36"/>
  <c r="AJ36" s="1"/>
  <c r="AK36" s="1"/>
  <c r="AL36" s="1"/>
  <c r="AN36" s="1"/>
  <c r="AI32"/>
  <c r="AJ32" s="1"/>
  <c r="AK32" s="1"/>
  <c r="AL32" s="1"/>
  <c r="AN32" s="1"/>
  <c r="AI28"/>
  <c r="AJ28" s="1"/>
  <c r="AK28" s="1"/>
  <c r="AL28" s="1"/>
  <c r="AN28" s="1"/>
  <c r="AI24"/>
  <c r="AJ24" s="1"/>
  <c r="AK24" s="1"/>
  <c r="AL24" s="1"/>
  <c r="AN24" s="1"/>
  <c r="AI20"/>
  <c r="AJ20" s="1"/>
  <c r="AK20" s="1"/>
  <c r="AL20" s="1"/>
  <c r="AN20" s="1"/>
  <c r="AI16"/>
  <c r="AJ16" s="1"/>
  <c r="AK16" s="1"/>
  <c r="AL16" s="1"/>
  <c r="AN16" s="1"/>
  <c r="AI12"/>
  <c r="AJ12" s="1"/>
  <c r="AK12" s="1"/>
  <c r="AL12" s="1"/>
  <c r="AN12" s="1"/>
  <c r="AI8"/>
  <c r="AJ8" s="1"/>
  <c r="AK8" s="1"/>
  <c r="AL8" s="1"/>
  <c r="AN8" s="1"/>
  <c r="AI4"/>
  <c r="AJ4" s="1"/>
  <c r="AK4" s="1"/>
  <c r="AL4" s="1"/>
  <c r="AN4" s="1"/>
  <c r="BA65"/>
  <c r="BB65" s="1"/>
  <c r="BD65" s="1"/>
  <c r="BA61"/>
  <c r="BB61" s="1"/>
  <c r="BD61" s="1"/>
  <c r="BA57"/>
  <c r="BB57" s="1"/>
  <c r="BD57" s="1"/>
  <c r="BA53"/>
  <c r="BB53" s="1"/>
  <c r="BD53" s="1"/>
  <c r="BA49"/>
  <c r="BB49" s="1"/>
  <c r="BD49" s="1"/>
  <c r="BA45"/>
  <c r="BB45" s="1"/>
  <c r="BD45" s="1"/>
  <c r="BA41"/>
  <c r="BB41" s="1"/>
  <c r="BD41" s="1"/>
  <c r="BA37"/>
  <c r="BB37" s="1"/>
  <c r="BD37" s="1"/>
  <c r="BA33"/>
  <c r="BB33" s="1"/>
  <c r="BD33" s="1"/>
  <c r="BA29"/>
  <c r="BB29" s="1"/>
  <c r="BD29" s="1"/>
  <c r="BA25"/>
  <c r="BB25" s="1"/>
  <c r="BD25" s="1"/>
  <c r="BA21"/>
  <c r="BB21" s="1"/>
  <c r="BD21" s="1"/>
  <c r="BA17"/>
  <c r="BB17" s="1"/>
  <c r="BD17" s="1"/>
  <c r="BA13"/>
  <c r="BB13" s="1"/>
  <c r="BD13" s="1"/>
  <c r="BA9"/>
  <c r="BB9" s="1"/>
  <c r="BD9" s="1"/>
  <c r="BA5"/>
  <c r="BB5" s="1"/>
  <c r="BD5" s="1"/>
  <c r="BA114"/>
  <c r="BB114" s="1"/>
  <c r="BD114" s="1"/>
  <c r="BA112"/>
  <c r="BB112" s="1"/>
  <c r="BD112" s="1"/>
  <c r="AK30" i="3"/>
  <c r="AL30" s="1"/>
  <c r="AN30" s="1"/>
  <c r="AK26"/>
  <c r="AL26" s="1"/>
  <c r="AN26" s="1"/>
  <c r="AK22"/>
  <c r="AL22" s="1"/>
  <c r="AN22" s="1"/>
  <c r="AK18"/>
  <c r="AL18" s="1"/>
  <c r="AN18" s="1"/>
  <c r="AK14"/>
  <c r="AL14" s="1"/>
  <c r="AN14" s="1"/>
  <c r="AK10"/>
  <c r="AL10" s="1"/>
  <c r="AN10" s="1"/>
  <c r="AI8"/>
  <c r="AI6"/>
  <c r="AI4"/>
  <c r="BA9" i="4"/>
  <c r="BB9" s="1"/>
  <c r="BD9" s="1"/>
  <c r="BA7"/>
  <c r="BB7" s="1"/>
  <c r="BD7" s="1"/>
  <c r="BA5"/>
  <c r="BB5" s="1"/>
  <c r="BD5" s="1"/>
  <c r="AK35" i="2"/>
  <c r="AL35" s="1"/>
  <c r="AN35" s="1"/>
  <c r="AK31"/>
  <c r="AL31" s="1"/>
  <c r="AN31" s="1"/>
  <c r="AK26"/>
  <c r="AL26" s="1"/>
  <c r="AN26" s="1"/>
  <c r="AK20"/>
  <c r="AL20" s="1"/>
  <c r="AN20" s="1"/>
  <c r="AK16"/>
  <c r="AL16" s="1"/>
  <c r="AN16" s="1"/>
  <c r="AK12"/>
  <c r="AL12" s="1"/>
  <c r="AN12" s="1"/>
  <c r="AK8"/>
  <c r="AL8" s="1"/>
  <c r="AN8" s="1"/>
  <c r="AK4"/>
  <c r="AL4" s="1"/>
  <c r="AN4" s="1"/>
  <c r="BA8" i="4"/>
  <c r="BB8" s="1"/>
  <c r="BD8" s="1"/>
  <c r="BA72" i="2"/>
  <c r="BB72" s="1"/>
  <c r="BD72" s="1"/>
  <c r="BA68"/>
  <c r="BB68" s="1"/>
  <c r="BA64"/>
  <c r="BB64" s="1"/>
  <c r="BD64" s="1"/>
  <c r="BA60"/>
  <c r="BB60" s="1"/>
  <c r="BA56"/>
  <c r="BB56" s="1"/>
  <c r="BD56" s="1"/>
  <c r="BA52"/>
  <c r="BB52" s="1"/>
  <c r="BD52" s="1"/>
  <c r="BA48"/>
  <c r="BB48" s="1"/>
  <c r="BD48" s="1"/>
  <c r="BA44"/>
  <c r="BB44" s="1"/>
  <c r="BD44" s="1"/>
  <c r="BA40"/>
  <c r="BB40" s="1"/>
  <c r="BD40" s="1"/>
  <c r="BA36"/>
  <c r="BB36" s="1"/>
  <c r="X18" i="19"/>
  <c r="V18"/>
  <c r="W18"/>
  <c r="V42" i="18"/>
  <c r="W42"/>
  <c r="X42" s="1"/>
  <c r="V78" i="19"/>
  <c r="W78" s="1"/>
  <c r="X78" s="1"/>
  <c r="AJ42"/>
  <c r="AZ42"/>
  <c r="V44"/>
  <c r="W44" s="1"/>
  <c r="X44" s="1"/>
  <c r="AJ11"/>
  <c r="AZ11"/>
  <c r="AJ5"/>
  <c r="AZ5"/>
  <c r="V22"/>
  <c r="W22"/>
  <c r="X22" s="1"/>
  <c r="V19"/>
  <c r="W19" s="1"/>
  <c r="X19" s="1"/>
  <c r="V10"/>
  <c r="W10" s="1"/>
  <c r="X10" s="1"/>
  <c r="V52" i="18"/>
  <c r="W52"/>
  <c r="X52" s="1"/>
  <c r="AZ46"/>
  <c r="X23"/>
  <c r="V23"/>
  <c r="W23"/>
  <c r="V19"/>
  <c r="W19" s="1"/>
  <c r="X19" s="1"/>
  <c r="V15"/>
  <c r="W15"/>
  <c r="X15" s="1"/>
  <c r="V11"/>
  <c r="W11" s="1"/>
  <c r="X11" s="1"/>
  <c r="X7"/>
  <c r="V7"/>
  <c r="W7"/>
  <c r="V25" i="19"/>
  <c r="W25" s="1"/>
  <c r="X25" s="1"/>
  <c r="V20"/>
  <c r="W20"/>
  <c r="X20" s="1"/>
  <c r="AZ38" i="18"/>
  <c r="V11" i="13"/>
  <c r="W11"/>
  <c r="X11" s="1"/>
  <c r="AZ12" i="14"/>
  <c r="AJ12"/>
  <c r="AJ10"/>
  <c r="AZ10"/>
  <c r="AJ32" i="13"/>
  <c r="AZ32"/>
  <c r="BA32" s="1"/>
  <c r="BB32" s="1"/>
  <c r="BD32" s="1"/>
  <c r="AJ22"/>
  <c r="AZ22"/>
  <c r="W46" i="10"/>
  <c r="X46" s="1"/>
  <c r="V46"/>
  <c r="V42"/>
  <c r="W42" s="1"/>
  <c r="X42" s="1"/>
  <c r="X37"/>
  <c r="W37"/>
  <c r="V37"/>
  <c r="X28"/>
  <c r="W28"/>
  <c r="V28"/>
  <c r="W21"/>
  <c r="X21" s="1"/>
  <c r="V21"/>
  <c r="V18"/>
  <c r="W18" s="1"/>
  <c r="X18" s="1"/>
  <c r="W13"/>
  <c r="X13" s="1"/>
  <c r="V13"/>
  <c r="V9"/>
  <c r="W9" s="1"/>
  <c r="X9" s="1"/>
  <c r="W6"/>
  <c r="X6" s="1"/>
  <c r="V6"/>
  <c r="AJ50" i="11"/>
  <c r="AK50" s="1"/>
  <c r="AL50" s="1"/>
  <c r="AN50" s="1"/>
  <c r="V52" i="7"/>
  <c r="W52"/>
  <c r="X52" s="1"/>
  <c r="V48"/>
  <c r="W48" s="1"/>
  <c r="X48" s="1"/>
  <c r="V44"/>
  <c r="W44"/>
  <c r="X44"/>
  <c r="V40"/>
  <c r="W40" s="1"/>
  <c r="X40" s="1"/>
  <c r="V36"/>
  <c r="W36"/>
  <c r="X36" s="1"/>
  <c r="V32"/>
  <c r="W32" s="1"/>
  <c r="X32" s="1"/>
  <c r="V28"/>
  <c r="W28"/>
  <c r="X28" s="1"/>
  <c r="V24"/>
  <c r="W24" s="1"/>
  <c r="X24" s="1"/>
  <c r="V20"/>
  <c r="W20"/>
  <c r="X20" s="1"/>
  <c r="V16"/>
  <c r="W16" s="1"/>
  <c r="X16" s="1"/>
  <c r="V12"/>
  <c r="W12"/>
  <c r="X12" s="1"/>
  <c r="V8"/>
  <c r="W8"/>
  <c r="X8"/>
  <c r="V314" i="6"/>
  <c r="W314" s="1"/>
  <c r="X314" s="1"/>
  <c r="V310"/>
  <c r="W310"/>
  <c r="X310" s="1"/>
  <c r="V306"/>
  <c r="W306" s="1"/>
  <c r="X306" s="1"/>
  <c r="X302"/>
  <c r="V302"/>
  <c r="W302"/>
  <c r="V293"/>
  <c r="W293" s="1"/>
  <c r="X293" s="1"/>
  <c r="V290"/>
  <c r="W290"/>
  <c r="X290" s="1"/>
  <c r="W288"/>
  <c r="X288" s="1"/>
  <c r="V288"/>
  <c r="V286"/>
  <c r="W286" s="1"/>
  <c r="X286" s="1"/>
  <c r="W284"/>
  <c r="X284" s="1"/>
  <c r="V284"/>
  <c r="X282"/>
  <c r="W282"/>
  <c r="V282"/>
  <c r="W280"/>
  <c r="X280" s="1"/>
  <c r="V280"/>
  <c r="V278"/>
  <c r="W278" s="1"/>
  <c r="X278" s="1"/>
  <c r="W276"/>
  <c r="X276" s="1"/>
  <c r="V276"/>
  <c r="V274"/>
  <c r="W274" s="1"/>
  <c r="X274" s="1"/>
  <c r="W272"/>
  <c r="X272" s="1"/>
  <c r="V272"/>
  <c r="V270"/>
  <c r="W270" s="1"/>
  <c r="X270" s="1"/>
  <c r="W319"/>
  <c r="X319" s="1"/>
  <c r="V319"/>
  <c r="AJ40" i="10"/>
  <c r="AZ40"/>
  <c r="BA40" s="1"/>
  <c r="BB40" s="1"/>
  <c r="BD40" s="1"/>
  <c r="AJ31"/>
  <c r="AZ31"/>
  <c r="BA31" s="1"/>
  <c r="BB31" s="1"/>
  <c r="AJ20"/>
  <c r="AZ20"/>
  <c r="V104" i="6"/>
  <c r="W104" s="1"/>
  <c r="X104" s="1"/>
  <c r="V100"/>
  <c r="W100"/>
  <c r="X100" s="1"/>
  <c r="V96"/>
  <c r="W96" s="1"/>
  <c r="X96" s="1"/>
  <c r="V92"/>
  <c r="W92"/>
  <c r="X92" s="1"/>
  <c r="V88"/>
  <c r="W88" s="1"/>
  <c r="X88" s="1"/>
  <c r="V84"/>
  <c r="W84"/>
  <c r="X84" s="1"/>
  <c r="V80"/>
  <c r="W80" s="1"/>
  <c r="X80" s="1"/>
  <c r="V76"/>
  <c r="W76"/>
  <c r="X76" s="1"/>
  <c r="V72"/>
  <c r="W72" s="1"/>
  <c r="X72" s="1"/>
  <c r="V6" i="3"/>
  <c r="W6" s="1"/>
  <c r="X6" s="1"/>
  <c r="AJ73" i="2"/>
  <c r="AK73" s="1"/>
  <c r="AL73" s="1"/>
  <c r="AN73" s="1"/>
  <c r="AZ73"/>
  <c r="AJ69"/>
  <c r="AK69" s="1"/>
  <c r="AL69" s="1"/>
  <c r="AN69" s="1"/>
  <c r="AZ69"/>
  <c r="AJ65"/>
  <c r="AK65" s="1"/>
  <c r="AL65" s="1"/>
  <c r="AN65" s="1"/>
  <c r="AZ65"/>
  <c r="AJ61"/>
  <c r="AK61" s="1"/>
  <c r="AL61" s="1"/>
  <c r="AN61" s="1"/>
  <c r="AZ61"/>
  <c r="AJ57"/>
  <c r="AK57" s="1"/>
  <c r="AL57" s="1"/>
  <c r="AN57" s="1"/>
  <c r="AZ57"/>
  <c r="AJ53"/>
  <c r="AK53" s="1"/>
  <c r="AL53" s="1"/>
  <c r="AN53" s="1"/>
  <c r="AZ53"/>
  <c r="AJ49"/>
  <c r="AK49" s="1"/>
  <c r="AL49" s="1"/>
  <c r="AN49" s="1"/>
  <c r="AZ49"/>
  <c r="AJ45"/>
  <c r="AK45" s="1"/>
  <c r="AL45" s="1"/>
  <c r="AN45" s="1"/>
  <c r="AZ45"/>
  <c r="AJ41"/>
  <c r="AK41" s="1"/>
  <c r="AL41" s="1"/>
  <c r="AZ41"/>
  <c r="AJ37"/>
  <c r="AK37" s="1"/>
  <c r="AL37" s="1"/>
  <c r="AN37" s="1"/>
  <c r="AZ37"/>
  <c r="BA69" i="19"/>
  <c r="BB69" s="1"/>
  <c r="BD69" s="1"/>
  <c r="AI76"/>
  <c r="AJ76" s="1"/>
  <c r="AK76" s="1"/>
  <c r="AL76" s="1"/>
  <c r="AN76" s="1"/>
  <c r="AI72"/>
  <c r="AJ72" s="1"/>
  <c r="AK72" s="1"/>
  <c r="AL72" s="1"/>
  <c r="AN72" s="1"/>
  <c r="AI64"/>
  <c r="AJ64" s="1"/>
  <c r="AK64" s="1"/>
  <c r="AL64" s="1"/>
  <c r="AN64" s="1"/>
  <c r="AI60"/>
  <c r="AJ60" s="1"/>
  <c r="AK60" s="1"/>
  <c r="AL60" s="1"/>
  <c r="AN60" s="1"/>
  <c r="AI52"/>
  <c r="AJ52" s="1"/>
  <c r="AK52" s="1"/>
  <c r="AL52" s="1"/>
  <c r="AN52" s="1"/>
  <c r="AI46"/>
  <c r="AJ46" s="1"/>
  <c r="AK46" s="1"/>
  <c r="AL46" s="1"/>
  <c r="AN46" s="1"/>
  <c r="BA64"/>
  <c r="BB64" s="1"/>
  <c r="BD64" s="1"/>
  <c r="BA60"/>
  <c r="BB60" s="1"/>
  <c r="BD60" s="1"/>
  <c r="BA56"/>
  <c r="BB56" s="1"/>
  <c r="BA52"/>
  <c r="BB52" s="1"/>
  <c r="BD52" s="1"/>
  <c r="BA42"/>
  <c r="BB42" s="1"/>
  <c r="BD42" s="1"/>
  <c r="BA39"/>
  <c r="BB39" s="1"/>
  <c r="BD39" s="1"/>
  <c r="BA24"/>
  <c r="BB24" s="1"/>
  <c r="BD24" s="1"/>
  <c r="BA71"/>
  <c r="BB71" s="1"/>
  <c r="BD71" s="1"/>
  <c r="BA67"/>
  <c r="BB67" s="1"/>
  <c r="BD67" s="1"/>
  <c r="BA59"/>
  <c r="BB59" s="1"/>
  <c r="BD59" s="1"/>
  <c r="BA51"/>
  <c r="BB51" s="1"/>
  <c r="BD51" s="1"/>
  <c r="BA47"/>
  <c r="BB47" s="1"/>
  <c r="AI52" i="18"/>
  <c r="AK39" i="19"/>
  <c r="AL39" s="1"/>
  <c r="AN39" s="1"/>
  <c r="BA29"/>
  <c r="BB29" s="1"/>
  <c r="BD29" s="1"/>
  <c r="BA17"/>
  <c r="BB17" s="1"/>
  <c r="BD17" s="1"/>
  <c r="AI47" i="18"/>
  <c r="AJ47" s="1"/>
  <c r="AK47" s="1"/>
  <c r="AL47" s="1"/>
  <c r="AN47" s="1"/>
  <c r="BA38"/>
  <c r="BB38" s="1"/>
  <c r="AY51"/>
  <c r="BA49"/>
  <c r="BB49" s="1"/>
  <c r="BA47"/>
  <c r="BB47" s="1"/>
  <c r="BD47" s="1"/>
  <c r="BA45"/>
  <c r="BB45" s="1"/>
  <c r="BD45" s="1"/>
  <c r="AI35"/>
  <c r="AJ35" s="1"/>
  <c r="AK35" s="1"/>
  <c r="AL35" s="1"/>
  <c r="AN35" s="1"/>
  <c r="BA29" i="14"/>
  <c r="BB29" s="1"/>
  <c r="BD29" s="1"/>
  <c r="AK27"/>
  <c r="AL27" s="1"/>
  <c r="AN27" s="1"/>
  <c r="AK23"/>
  <c r="AL23" s="1"/>
  <c r="AN23" s="1"/>
  <c r="AK19"/>
  <c r="AL19" s="1"/>
  <c r="AK16"/>
  <c r="AL16" s="1"/>
  <c r="AK14"/>
  <c r="AL14" s="1"/>
  <c r="AN14" s="1"/>
  <c r="AK12"/>
  <c r="AL12" s="1"/>
  <c r="AK8"/>
  <c r="AL8" s="1"/>
  <c r="AN8" s="1"/>
  <c r="AK42" i="13"/>
  <c r="AL42" s="1"/>
  <c r="AN42" s="1"/>
  <c r="AK38"/>
  <c r="AL38" s="1"/>
  <c r="AN38" s="1"/>
  <c r="AK22"/>
  <c r="AL22" s="1"/>
  <c r="AN22" s="1"/>
  <c r="AK18"/>
  <c r="AL18" s="1"/>
  <c r="AN18" s="1"/>
  <c r="AK14"/>
  <c r="AL14" s="1"/>
  <c r="AN14" s="1"/>
  <c r="AK6"/>
  <c r="AL6" s="1"/>
  <c r="AN6" s="1"/>
  <c r="BA20" i="14"/>
  <c r="BB20" s="1"/>
  <c r="BD20" s="1"/>
  <c r="BA18"/>
  <c r="BB18" s="1"/>
  <c r="BD18" s="1"/>
  <c r="BA35" i="13"/>
  <c r="BB35" s="1"/>
  <c r="BD35" s="1"/>
  <c r="BA27"/>
  <c r="BB27" s="1"/>
  <c r="BD27" s="1"/>
  <c r="BA15"/>
  <c r="BB15" s="1"/>
  <c r="BD15" s="1"/>
  <c r="BA7"/>
  <c r="BB7" s="1"/>
  <c r="BD7" s="1"/>
  <c r="BA27" i="14"/>
  <c r="BB27" s="1"/>
  <c r="BD27" s="1"/>
  <c r="BA23"/>
  <c r="BB23" s="1"/>
  <c r="BD23" s="1"/>
  <c r="BA17"/>
  <c r="BB17" s="1"/>
  <c r="BD17" s="1"/>
  <c r="BA14"/>
  <c r="BB14" s="1"/>
  <c r="BD14" s="1"/>
  <c r="BA12"/>
  <c r="BB12" s="1"/>
  <c r="BA48" i="11"/>
  <c r="BB48" s="1"/>
  <c r="BD48" s="1"/>
  <c r="BA44"/>
  <c r="BB44" s="1"/>
  <c r="BA40"/>
  <c r="BB40" s="1"/>
  <c r="BD40" s="1"/>
  <c r="BA36"/>
  <c r="BB36" s="1"/>
  <c r="BA32"/>
  <c r="BB32" s="1"/>
  <c r="BD32" s="1"/>
  <c r="BA28"/>
  <c r="BB28" s="1"/>
  <c r="BD28" s="1"/>
  <c r="BA24"/>
  <c r="BB24" s="1"/>
  <c r="BD24" s="1"/>
  <c r="BA20"/>
  <c r="BB20" s="1"/>
  <c r="BD20" s="1"/>
  <c r="BA16"/>
  <c r="BB16" s="1"/>
  <c r="BD16" s="1"/>
  <c r="BA12"/>
  <c r="BB12" s="1"/>
  <c r="BD12" s="1"/>
  <c r="BA8"/>
  <c r="BB8" s="1"/>
  <c r="BD8" s="1"/>
  <c r="AK49" i="10"/>
  <c r="AL49" s="1"/>
  <c r="AK17"/>
  <c r="AL17" s="1"/>
  <c r="AI53"/>
  <c r="AI51"/>
  <c r="BA317" i="6"/>
  <c r="BB317" s="1"/>
  <c r="BD317" s="1"/>
  <c r="AK259"/>
  <c r="AL259" s="1"/>
  <c r="AN259" s="1"/>
  <c r="AK255"/>
  <c r="AL255" s="1"/>
  <c r="AN255" s="1"/>
  <c r="AK251"/>
  <c r="AL251" s="1"/>
  <c r="AN251" s="1"/>
  <c r="AI246"/>
  <c r="AJ246" s="1"/>
  <c r="AK246" s="1"/>
  <c r="AL246" s="1"/>
  <c r="AN246" s="1"/>
  <c r="AY142"/>
  <c r="AY138"/>
  <c r="AZ138" s="1"/>
  <c r="BA138" s="1"/>
  <c r="BB138" s="1"/>
  <c r="BD138" s="1"/>
  <c r="AY134"/>
  <c r="AY130"/>
  <c r="AZ130" s="1"/>
  <c r="BA130" s="1"/>
  <c r="BB130" s="1"/>
  <c r="BD130" s="1"/>
  <c r="AY126"/>
  <c r="AK245"/>
  <c r="AL245" s="1"/>
  <c r="AN245" s="1"/>
  <c r="AK178"/>
  <c r="AL178" s="1"/>
  <c r="AN178" s="1"/>
  <c r="AK170"/>
  <c r="AL170" s="1"/>
  <c r="AN170" s="1"/>
  <c r="AK162"/>
  <c r="AL162" s="1"/>
  <c r="AN162" s="1"/>
  <c r="AK154"/>
  <c r="AL154" s="1"/>
  <c r="AN154" s="1"/>
  <c r="AK146"/>
  <c r="AL146" s="1"/>
  <c r="AN146" s="1"/>
  <c r="AK68"/>
  <c r="AL68" s="1"/>
  <c r="AN68" s="1"/>
  <c r="AI63"/>
  <c r="AJ63" s="1"/>
  <c r="AK63" s="1"/>
  <c r="AL63" s="1"/>
  <c r="AI59"/>
  <c r="AJ59" s="1"/>
  <c r="AK59" s="1"/>
  <c r="AL59" s="1"/>
  <c r="AN59" s="1"/>
  <c r="AI55"/>
  <c r="AJ55" s="1"/>
  <c r="AK55" s="1"/>
  <c r="AL55" s="1"/>
  <c r="AN55" s="1"/>
  <c r="AI51"/>
  <c r="AJ51" s="1"/>
  <c r="AK51" s="1"/>
  <c r="AL51" s="1"/>
  <c r="AN51" s="1"/>
  <c r="AI47"/>
  <c r="AJ47" s="1"/>
  <c r="AK47" s="1"/>
  <c r="AL47" s="1"/>
  <c r="AN47" s="1"/>
  <c r="AI43"/>
  <c r="AJ43" s="1"/>
  <c r="AK43" s="1"/>
  <c r="AL43" s="1"/>
  <c r="AN43" s="1"/>
  <c r="AI39"/>
  <c r="AJ39" s="1"/>
  <c r="AK39" s="1"/>
  <c r="AL39" s="1"/>
  <c r="AN39" s="1"/>
  <c r="AI35"/>
  <c r="AJ35" s="1"/>
  <c r="AK35" s="1"/>
  <c r="AL35" s="1"/>
  <c r="AN35" s="1"/>
  <c r="AI31"/>
  <c r="AJ31" s="1"/>
  <c r="AK31" s="1"/>
  <c r="AL31" s="1"/>
  <c r="AN31" s="1"/>
  <c r="AI27"/>
  <c r="AJ27" s="1"/>
  <c r="AK27" s="1"/>
  <c r="AL27" s="1"/>
  <c r="AN27" s="1"/>
  <c r="AI23"/>
  <c r="AJ23" s="1"/>
  <c r="AK23" s="1"/>
  <c r="AL23" s="1"/>
  <c r="AN23" s="1"/>
  <c r="AI19"/>
  <c r="AJ19" s="1"/>
  <c r="AK19" s="1"/>
  <c r="AL19" s="1"/>
  <c r="AN19" s="1"/>
  <c r="AI15"/>
  <c r="AJ15" s="1"/>
  <c r="AK15" s="1"/>
  <c r="AL15" s="1"/>
  <c r="AN15" s="1"/>
  <c r="AI11"/>
  <c r="AJ11" s="1"/>
  <c r="AK11" s="1"/>
  <c r="AL11" s="1"/>
  <c r="AN11" s="1"/>
  <c r="AI7"/>
  <c r="AJ7" s="1"/>
  <c r="AK7" s="1"/>
  <c r="AL7" s="1"/>
  <c r="AN7" s="1"/>
  <c r="BA122"/>
  <c r="BB122" s="1"/>
  <c r="BD122" s="1"/>
  <c r="BA120"/>
  <c r="BB120" s="1"/>
  <c r="BD120" s="1"/>
  <c r="BA118"/>
  <c r="BB118" s="1"/>
  <c r="BD118" s="1"/>
  <c r="BA116"/>
  <c r="BB116" s="1"/>
  <c r="BA68"/>
  <c r="BB68" s="1"/>
  <c r="BD68" s="1"/>
  <c r="BA64"/>
  <c r="BB64" s="1"/>
  <c r="BD64" s="1"/>
  <c r="BA60"/>
  <c r="BB60" s="1"/>
  <c r="BD60" s="1"/>
  <c r="BA56"/>
  <c r="BB56" s="1"/>
  <c r="BD56" s="1"/>
  <c r="BA52"/>
  <c r="BB52" s="1"/>
  <c r="BD52" s="1"/>
  <c r="BA48"/>
  <c r="BB48" s="1"/>
  <c r="BD48" s="1"/>
  <c r="BA44"/>
  <c r="BB44" s="1"/>
  <c r="BD44" s="1"/>
  <c r="BA40"/>
  <c r="BB40" s="1"/>
  <c r="BD40" s="1"/>
  <c r="BA36"/>
  <c r="BB36" s="1"/>
  <c r="BD36" s="1"/>
  <c r="BA32"/>
  <c r="BB32" s="1"/>
  <c r="BD32" s="1"/>
  <c r="BA28"/>
  <c r="BB28" s="1"/>
  <c r="BD28" s="1"/>
  <c r="BA24"/>
  <c r="BB24" s="1"/>
  <c r="BD24" s="1"/>
  <c r="BA20"/>
  <c r="BB20" s="1"/>
  <c r="BD20" s="1"/>
  <c r="BA16"/>
  <c r="BB16" s="1"/>
  <c r="BD16" s="1"/>
  <c r="BA12"/>
  <c r="BB12" s="1"/>
  <c r="BD12" s="1"/>
  <c r="BA8"/>
  <c r="BB8" s="1"/>
  <c r="BD8" s="1"/>
  <c r="AK21" i="3"/>
  <c r="AL21" s="1"/>
  <c r="AN21" s="1"/>
  <c r="AK17"/>
  <c r="AL17" s="1"/>
  <c r="AN17" s="1"/>
  <c r="AK13"/>
  <c r="AL13" s="1"/>
  <c r="AN13" s="1"/>
  <c r="AK6" i="4"/>
  <c r="AL6" s="1"/>
  <c r="AN6" s="1"/>
  <c r="AK4"/>
  <c r="AL4" s="1"/>
  <c r="AN4" s="1"/>
  <c r="AK34" i="2"/>
  <c r="AL34" s="1"/>
  <c r="AN34" s="1"/>
  <c r="AK30"/>
  <c r="AL30" s="1"/>
  <c r="AN30" s="1"/>
  <c r="AK28"/>
  <c r="AL28" s="1"/>
  <c r="AN28" s="1"/>
  <c r="AK25"/>
  <c r="AL25" s="1"/>
  <c r="AK23"/>
  <c r="AL23" s="1"/>
  <c r="AN23" s="1"/>
  <c r="AK19"/>
  <c r="AL19" s="1"/>
  <c r="AN19" s="1"/>
  <c r="AK15"/>
  <c r="AL15" s="1"/>
  <c r="AN15" s="1"/>
  <c r="AK11"/>
  <c r="AL11" s="1"/>
  <c r="AN11" s="1"/>
  <c r="AK7"/>
  <c r="AL7" s="1"/>
  <c r="AN7" s="1"/>
  <c r="BA73"/>
  <c r="BB73" s="1"/>
  <c r="BD73" s="1"/>
  <c r="BA69"/>
  <c r="BB69" s="1"/>
  <c r="BD69" s="1"/>
  <c r="BA65"/>
  <c r="BB65" s="1"/>
  <c r="BD65" s="1"/>
  <c r="BA61"/>
  <c r="BB61" s="1"/>
  <c r="BD61" s="1"/>
  <c r="BA57"/>
  <c r="BB57" s="1"/>
  <c r="BD57" s="1"/>
  <c r="BA53"/>
  <c r="BB53" s="1"/>
  <c r="BD53" s="1"/>
  <c r="BA49"/>
  <c r="BB49" s="1"/>
  <c r="BD49" s="1"/>
  <c r="BA45"/>
  <c r="BB45" s="1"/>
  <c r="BD45" s="1"/>
  <c r="BA41"/>
  <c r="BB41" s="1"/>
  <c r="BA37"/>
  <c r="BB37" s="1"/>
  <c r="BD37" s="1"/>
  <c r="AJ12" i="19"/>
  <c r="AK12" s="1"/>
  <c r="AL12" s="1"/>
  <c r="AN12" s="1"/>
  <c r="AZ12"/>
  <c r="V40" i="18"/>
  <c r="W40" s="1"/>
  <c r="X40" s="1"/>
  <c r="AJ41" i="19"/>
  <c r="AK41" s="1"/>
  <c r="AL41" s="1"/>
  <c r="AN41" s="1"/>
  <c r="AZ41"/>
  <c r="BA41" s="1"/>
  <c r="BB41" s="1"/>
  <c r="BD41" s="1"/>
  <c r="AJ80"/>
  <c r="AK80" s="1"/>
  <c r="AL80" s="1"/>
  <c r="AN80" s="1"/>
  <c r="AZ80"/>
  <c r="AJ8"/>
  <c r="AK8" s="1"/>
  <c r="AL8" s="1"/>
  <c r="AN8" s="1"/>
  <c r="AZ8"/>
  <c r="BA8" s="1"/>
  <c r="BB8" s="1"/>
  <c r="BD8" s="1"/>
  <c r="AJ4"/>
  <c r="AK4" s="1"/>
  <c r="AL4" s="1"/>
  <c r="AN4" s="1"/>
  <c r="AZ4"/>
  <c r="V21"/>
  <c r="W21" s="1"/>
  <c r="X21" s="1"/>
  <c r="V14"/>
  <c r="W14"/>
  <c r="X14" s="1"/>
  <c r="V43" i="18"/>
  <c r="W43"/>
  <c r="X43" s="1"/>
  <c r="V41"/>
  <c r="W41" s="1"/>
  <c r="X41" s="1"/>
  <c r="V39"/>
  <c r="W39"/>
  <c r="X39" s="1"/>
  <c r="V30"/>
  <c r="W30" s="1"/>
  <c r="X30" s="1"/>
  <c r="V27"/>
  <c r="W27"/>
  <c r="X27" s="1"/>
  <c r="V51"/>
  <c r="W51" s="1"/>
  <c r="X51" s="1"/>
  <c r="V26"/>
  <c r="W26" s="1"/>
  <c r="X26" s="1"/>
  <c r="X22"/>
  <c r="V22"/>
  <c r="W22"/>
  <c r="V18"/>
  <c r="W18" s="1"/>
  <c r="X18" s="1"/>
  <c r="X14"/>
  <c r="V14"/>
  <c r="W14"/>
  <c r="V10"/>
  <c r="W10" s="1"/>
  <c r="X10" s="1"/>
  <c r="V6"/>
  <c r="W6"/>
  <c r="X6" s="1"/>
  <c r="V36" i="19"/>
  <c r="W36" s="1"/>
  <c r="X36" s="1"/>
  <c r="V50" i="18"/>
  <c r="W50" s="1"/>
  <c r="X50" s="1"/>
  <c r="AZ37"/>
  <c r="V34"/>
  <c r="X34"/>
  <c r="W34"/>
  <c r="X30" i="19"/>
  <c r="V30"/>
  <c r="W30"/>
  <c r="V27"/>
  <c r="W27" s="1"/>
  <c r="X27" s="1"/>
  <c r="V23"/>
  <c r="W23"/>
  <c r="X23" s="1"/>
  <c r="V24" i="13"/>
  <c r="W24"/>
  <c r="X24"/>
  <c r="BC5" i="14"/>
  <c r="BD5" s="1"/>
  <c r="W4"/>
  <c r="X4" s="1"/>
  <c r="V4"/>
  <c r="AJ31" i="13"/>
  <c r="AK31" s="1"/>
  <c r="AL31" s="1"/>
  <c r="AN31" s="1"/>
  <c r="AZ31"/>
  <c r="BA31" s="1"/>
  <c r="BB31" s="1"/>
  <c r="BD31" s="1"/>
  <c r="W45" i="10"/>
  <c r="X45" s="1"/>
  <c r="V45"/>
  <c r="X41"/>
  <c r="W41"/>
  <c r="V41"/>
  <c r="W34"/>
  <c r="X34" s="1"/>
  <c r="V34"/>
  <c r="X25"/>
  <c r="W25"/>
  <c r="V25"/>
  <c r="W12"/>
  <c r="X12" s="1"/>
  <c r="V12"/>
  <c r="V8"/>
  <c r="W8" s="1"/>
  <c r="X8" s="1"/>
  <c r="W5"/>
  <c r="X5" s="1"/>
  <c r="V5"/>
  <c r="V58"/>
  <c r="W58" s="1"/>
  <c r="X58" s="1"/>
  <c r="V53"/>
  <c r="W53"/>
  <c r="X53" s="1"/>
  <c r="V51"/>
  <c r="W51" s="1"/>
  <c r="X51" s="1"/>
  <c r="V53" i="7"/>
  <c r="W53"/>
  <c r="X53" s="1"/>
  <c r="V49"/>
  <c r="W49" s="1"/>
  <c r="X49" s="1"/>
  <c r="V45"/>
  <c r="W45"/>
  <c r="X45"/>
  <c r="V41"/>
  <c r="W41" s="1"/>
  <c r="X41" s="1"/>
  <c r="V37"/>
  <c r="W37"/>
  <c r="X37" s="1"/>
  <c r="V33"/>
  <c r="W33" s="1"/>
  <c r="X33" s="1"/>
  <c r="V29"/>
  <c r="W29"/>
  <c r="X29" s="1"/>
  <c r="V25"/>
  <c r="W25" s="1"/>
  <c r="X25" s="1"/>
  <c r="V21"/>
  <c r="W21"/>
  <c r="X21" s="1"/>
  <c r="V17"/>
  <c r="W17" s="1"/>
  <c r="X17" s="1"/>
  <c r="V13"/>
  <c r="W13"/>
  <c r="X13" s="1"/>
  <c r="V9"/>
  <c r="W9" s="1"/>
  <c r="X9" s="1"/>
  <c r="V5"/>
  <c r="W5"/>
  <c r="X5" s="1"/>
  <c r="X313" i="6"/>
  <c r="V313"/>
  <c r="W313"/>
  <c r="V309"/>
  <c r="W309" s="1"/>
  <c r="X309" s="1"/>
  <c r="V305"/>
  <c r="W305"/>
  <c r="X305" s="1"/>
  <c r="V301"/>
  <c r="W301" s="1"/>
  <c r="X301" s="1"/>
  <c r="X299"/>
  <c r="V299"/>
  <c r="W299"/>
  <c r="V297"/>
  <c r="W297" s="1"/>
  <c r="X297" s="1"/>
  <c r="V295"/>
  <c r="W295"/>
  <c r="X295" s="1"/>
  <c r="V292"/>
  <c r="W292" s="1"/>
  <c r="X292" s="1"/>
  <c r="AJ39" i="10"/>
  <c r="AZ39"/>
  <c r="BA39" s="1"/>
  <c r="BB39" s="1"/>
  <c r="BD39" s="1"/>
  <c r="AZ43" i="11"/>
  <c r="AJ43"/>
  <c r="AK43" s="1"/>
  <c r="AL43" s="1"/>
  <c r="AN43" s="1"/>
  <c r="BD63" i="6"/>
  <c r="BC63"/>
  <c r="AZ152"/>
  <c r="BA152" s="1"/>
  <c r="BB152" s="1"/>
  <c r="BD152" s="1"/>
  <c r="AJ152"/>
  <c r="V103"/>
  <c r="W103" s="1"/>
  <c r="X103" s="1"/>
  <c r="V99"/>
  <c r="W99"/>
  <c r="X99" s="1"/>
  <c r="V95"/>
  <c r="W95" s="1"/>
  <c r="X95" s="1"/>
  <c r="V91"/>
  <c r="W91"/>
  <c r="X91" s="1"/>
  <c r="V87"/>
  <c r="W87" s="1"/>
  <c r="X87" s="1"/>
  <c r="V83"/>
  <c r="W83"/>
  <c r="X83" s="1"/>
  <c r="V79"/>
  <c r="W79" s="1"/>
  <c r="X79" s="1"/>
  <c r="V75"/>
  <c r="W75"/>
  <c r="X75" s="1"/>
  <c r="V71"/>
  <c r="W71" s="1"/>
  <c r="X71" s="1"/>
  <c r="W9" i="3"/>
  <c r="X9"/>
  <c r="V9"/>
  <c r="V5"/>
  <c r="W5" s="1"/>
  <c r="X5" s="1"/>
  <c r="AJ29"/>
  <c r="AK29" s="1"/>
  <c r="AL29" s="1"/>
  <c r="AN29" s="1"/>
  <c r="AZ29"/>
  <c r="BA29" s="1"/>
  <c r="BB29" s="1"/>
  <c r="BD29" s="1"/>
  <c r="AJ27"/>
  <c r="AZ27"/>
  <c r="BA27" s="1"/>
  <c r="BB27" s="1"/>
  <c r="BD27" s="1"/>
  <c r="AJ25"/>
  <c r="AK25" s="1"/>
  <c r="AL25" s="1"/>
  <c r="AN25" s="1"/>
  <c r="AZ25"/>
  <c r="BA25" s="1"/>
  <c r="BB25" s="1"/>
  <c r="BD25" s="1"/>
  <c r="AJ23"/>
  <c r="AZ23"/>
  <c r="BA23" s="1"/>
  <c r="BB23" s="1"/>
  <c r="BD23" s="1"/>
  <c r="AJ74" i="2"/>
  <c r="AZ74"/>
  <c r="AJ70"/>
  <c r="AZ70"/>
  <c r="AJ66"/>
  <c r="AZ66"/>
  <c r="AJ62"/>
  <c r="AZ62"/>
  <c r="AJ58"/>
  <c r="AZ58"/>
  <c r="AJ54"/>
  <c r="AZ54"/>
  <c r="AJ50"/>
  <c r="AZ50"/>
  <c r="AJ46"/>
  <c r="AZ46"/>
  <c r="AJ42"/>
  <c r="AZ42"/>
  <c r="AJ38"/>
  <c r="AZ38"/>
  <c r="BA80" i="19"/>
  <c r="BB80" s="1"/>
  <c r="BD80" s="1"/>
  <c r="BA65"/>
  <c r="BB65" s="1"/>
  <c r="AI78"/>
  <c r="AI70"/>
  <c r="AJ70" s="1"/>
  <c r="AK70" s="1"/>
  <c r="AL70" s="1"/>
  <c r="AN70" s="1"/>
  <c r="AI66"/>
  <c r="AJ66" s="1"/>
  <c r="AK66" s="1"/>
  <c r="AL66" s="1"/>
  <c r="AN66" s="1"/>
  <c r="AI58"/>
  <c r="AJ58" s="1"/>
  <c r="AK58" s="1"/>
  <c r="AL58" s="1"/>
  <c r="AN58" s="1"/>
  <c r="AI54"/>
  <c r="AJ54" s="1"/>
  <c r="AK54" s="1"/>
  <c r="AL54" s="1"/>
  <c r="AN54" s="1"/>
  <c r="AI48"/>
  <c r="AJ48" s="1"/>
  <c r="AK48" s="1"/>
  <c r="AL48" s="1"/>
  <c r="AN48" s="1"/>
  <c r="BA76"/>
  <c r="BB76" s="1"/>
  <c r="BD76" s="1"/>
  <c r="BA48"/>
  <c r="BB48" s="1"/>
  <c r="BD48" s="1"/>
  <c r="BA40"/>
  <c r="BB40" s="1"/>
  <c r="BD40" s="1"/>
  <c r="BA31"/>
  <c r="BB31" s="1"/>
  <c r="BD31" s="1"/>
  <c r="AK11"/>
  <c r="AL11" s="1"/>
  <c r="AN11" s="1"/>
  <c r="BA75"/>
  <c r="BB75" s="1"/>
  <c r="BD75" s="1"/>
  <c r="BA63"/>
  <c r="BB63" s="1"/>
  <c r="BD63" s="1"/>
  <c r="BA55"/>
  <c r="BB55" s="1"/>
  <c r="AI79"/>
  <c r="AJ79" s="1"/>
  <c r="AK79" s="1"/>
  <c r="AL79" s="1"/>
  <c r="AI77"/>
  <c r="AJ77" s="1"/>
  <c r="AK77" s="1"/>
  <c r="AL77" s="1"/>
  <c r="AN77" s="1"/>
  <c r="AI75"/>
  <c r="AJ75" s="1"/>
  <c r="AK75" s="1"/>
  <c r="AL75" s="1"/>
  <c r="AN75" s="1"/>
  <c r="AI73"/>
  <c r="AJ73" s="1"/>
  <c r="AK73" s="1"/>
  <c r="AL73" s="1"/>
  <c r="AN73" s="1"/>
  <c r="AI71"/>
  <c r="AJ71" s="1"/>
  <c r="AK71" s="1"/>
  <c r="AL71" s="1"/>
  <c r="AN71" s="1"/>
  <c r="AI69"/>
  <c r="AJ69" s="1"/>
  <c r="AK69" s="1"/>
  <c r="AL69" s="1"/>
  <c r="AN69" s="1"/>
  <c r="AI67"/>
  <c r="AJ67" s="1"/>
  <c r="AK67" s="1"/>
  <c r="AL67" s="1"/>
  <c r="AN67" s="1"/>
  <c r="AI65"/>
  <c r="AJ65" s="1"/>
  <c r="AK65" s="1"/>
  <c r="AL65" s="1"/>
  <c r="AI63"/>
  <c r="AJ63" s="1"/>
  <c r="AK63" s="1"/>
  <c r="AL63" s="1"/>
  <c r="AN63" s="1"/>
  <c r="AI61"/>
  <c r="AJ61" s="1"/>
  <c r="AK61" s="1"/>
  <c r="AL61" s="1"/>
  <c r="AN61" s="1"/>
  <c r="AI59"/>
  <c r="AJ59" s="1"/>
  <c r="AK59" s="1"/>
  <c r="AL59" s="1"/>
  <c r="AN59" s="1"/>
  <c r="AI57"/>
  <c r="AJ57" s="1"/>
  <c r="AK57" s="1"/>
  <c r="AL57" s="1"/>
  <c r="AN57" s="1"/>
  <c r="AI55"/>
  <c r="AJ55" s="1"/>
  <c r="AK55" s="1"/>
  <c r="AL55" s="1"/>
  <c r="AI53"/>
  <c r="AJ53" s="1"/>
  <c r="AK53" s="1"/>
  <c r="AL53" s="1"/>
  <c r="AN53" s="1"/>
  <c r="AI51"/>
  <c r="AJ51" s="1"/>
  <c r="AK51" s="1"/>
  <c r="AL51" s="1"/>
  <c r="AN51" s="1"/>
  <c r="AI49"/>
  <c r="AJ49" s="1"/>
  <c r="AK49" s="1"/>
  <c r="AL49" s="1"/>
  <c r="AN49" s="1"/>
  <c r="AI47"/>
  <c r="AJ47" s="1"/>
  <c r="AK47" s="1"/>
  <c r="AL47" s="1"/>
  <c r="BA74"/>
  <c r="BB74" s="1"/>
  <c r="BD74" s="1"/>
  <c r="BA70"/>
  <c r="BB70" s="1"/>
  <c r="BD70" s="1"/>
  <c r="BA66"/>
  <c r="BB66" s="1"/>
  <c r="BD66" s="1"/>
  <c r="BA62"/>
  <c r="BB62" s="1"/>
  <c r="BD62" s="1"/>
  <c r="BA58"/>
  <c r="BB58" s="1"/>
  <c r="BD58" s="1"/>
  <c r="BA54"/>
  <c r="BB54" s="1"/>
  <c r="BD54" s="1"/>
  <c r="BA50"/>
  <c r="BB50" s="1"/>
  <c r="BD50" s="1"/>
  <c r="BA46"/>
  <c r="BB46" s="1"/>
  <c r="BD46" s="1"/>
  <c r="AI51" i="18"/>
  <c r="BA28" i="19"/>
  <c r="BB28" s="1"/>
  <c r="BA15"/>
  <c r="BB15" s="1"/>
  <c r="BD15" s="1"/>
  <c r="AK5"/>
  <c r="AL5" s="1"/>
  <c r="AN5" s="1"/>
  <c r="BA11"/>
  <c r="BB11" s="1"/>
  <c r="BD11" s="1"/>
  <c r="AI46" i="18"/>
  <c r="AJ46" s="1"/>
  <c r="AK46" s="1"/>
  <c r="AL46" s="1"/>
  <c r="AN46" s="1"/>
  <c r="AI43"/>
  <c r="AI41"/>
  <c r="AI39"/>
  <c r="AK48"/>
  <c r="AL48" s="1"/>
  <c r="AN48" s="1"/>
  <c r="AI38"/>
  <c r="AJ38" s="1"/>
  <c r="AK38" s="1"/>
  <c r="AL38" s="1"/>
  <c r="AK32"/>
  <c r="AL32" s="1"/>
  <c r="AY30" i="14"/>
  <c r="AZ30" s="1"/>
  <c r="BA30" s="1"/>
  <c r="BB30" s="1"/>
  <c r="AK26"/>
  <c r="AL26" s="1"/>
  <c r="AK22"/>
  <c r="AL22" s="1"/>
  <c r="AN22" s="1"/>
  <c r="AK18"/>
  <c r="AL18" s="1"/>
  <c r="AN18" s="1"/>
  <c r="AK11"/>
  <c r="AL11" s="1"/>
  <c r="AN11" s="1"/>
  <c r="AK7"/>
  <c r="AL7" s="1"/>
  <c r="AN7" s="1"/>
  <c r="BA25"/>
  <c r="BB25" s="1"/>
  <c r="BA22"/>
  <c r="BB22" s="1"/>
  <c r="BD22" s="1"/>
  <c r="BA19"/>
  <c r="BB19" s="1"/>
  <c r="BA28"/>
  <c r="BB28" s="1"/>
  <c r="BA26"/>
  <c r="BB26" s="1"/>
  <c r="AK5"/>
  <c r="AL5" s="1"/>
  <c r="AK41" i="13"/>
  <c r="AL41" s="1"/>
  <c r="AN41" s="1"/>
  <c r="AK37"/>
  <c r="AL37" s="1"/>
  <c r="AN37" s="1"/>
  <c r="AK33"/>
  <c r="AL33" s="1"/>
  <c r="AN33" s="1"/>
  <c r="AK29"/>
  <c r="AL29" s="1"/>
  <c r="AN29" s="1"/>
  <c r="AK25"/>
  <c r="AL25" s="1"/>
  <c r="AN25" s="1"/>
  <c r="AK21"/>
  <c r="AL21" s="1"/>
  <c r="AN21" s="1"/>
  <c r="AK17"/>
  <c r="AL17" s="1"/>
  <c r="AN17" s="1"/>
  <c r="AK13"/>
  <c r="AL13" s="1"/>
  <c r="AN13" s="1"/>
  <c r="AK9"/>
  <c r="AL9" s="1"/>
  <c r="AN9" s="1"/>
  <c r="AK5"/>
  <c r="AL5" s="1"/>
  <c r="AN5" s="1"/>
  <c r="BA22"/>
  <c r="BB22" s="1"/>
  <c r="BD22" s="1"/>
  <c r="BA18"/>
  <c r="BB18" s="1"/>
  <c r="BD18" s="1"/>
  <c r="BA14"/>
  <c r="BB14" s="1"/>
  <c r="BD14" s="1"/>
  <c r="BA6"/>
  <c r="BB6" s="1"/>
  <c r="BD6" s="1"/>
  <c r="AK49" i="11"/>
  <c r="AL49" s="1"/>
  <c r="AN49" s="1"/>
  <c r="AK47"/>
  <c r="AL47" s="1"/>
  <c r="AN47" s="1"/>
  <c r="AK45"/>
  <c r="AL45" s="1"/>
  <c r="AN45" s="1"/>
  <c r="AK41"/>
  <c r="AL41" s="1"/>
  <c r="AN41" s="1"/>
  <c r="AK39"/>
  <c r="AL39" s="1"/>
  <c r="AN39" s="1"/>
  <c r="AK37"/>
  <c r="AL37" s="1"/>
  <c r="AN37" s="1"/>
  <c r="AK35"/>
  <c r="AL35" s="1"/>
  <c r="AN35" s="1"/>
  <c r="AK33"/>
  <c r="AL33" s="1"/>
  <c r="AK31"/>
  <c r="AL31" s="1"/>
  <c r="AN31" s="1"/>
  <c r="AK29"/>
  <c r="AL29" s="1"/>
  <c r="AN29" s="1"/>
  <c r="AK27"/>
  <c r="AL27" s="1"/>
  <c r="AK25"/>
  <c r="AL25" s="1"/>
  <c r="AN25" s="1"/>
  <c r="AK23"/>
  <c r="AL23" s="1"/>
  <c r="AN23" s="1"/>
  <c r="AK21"/>
  <c r="AL21" s="1"/>
  <c r="AN21" s="1"/>
  <c r="AK19"/>
  <c r="AL19" s="1"/>
  <c r="AN19" s="1"/>
  <c r="AK17"/>
  <c r="AL17" s="1"/>
  <c r="AN17" s="1"/>
  <c r="AK15"/>
  <c r="AL15" s="1"/>
  <c r="AK13"/>
  <c r="AL13" s="1"/>
  <c r="AN13" s="1"/>
  <c r="AK11"/>
  <c r="AL11" s="1"/>
  <c r="AK9"/>
  <c r="AL9" s="1"/>
  <c r="AN9" s="1"/>
  <c r="AK5"/>
  <c r="AL5" s="1"/>
  <c r="AY50"/>
  <c r="AZ50" s="1"/>
  <c r="BA50" s="1"/>
  <c r="BB50" s="1"/>
  <c r="BD50" s="1"/>
  <c r="BA47"/>
  <c r="BB47" s="1"/>
  <c r="BD47" s="1"/>
  <c r="AY46"/>
  <c r="AZ46" s="1"/>
  <c r="BA46" s="1"/>
  <c r="BB46" s="1"/>
  <c r="BD46" s="1"/>
  <c r="BA43"/>
  <c r="BB43" s="1"/>
  <c r="BD43" s="1"/>
  <c r="AY42"/>
  <c r="AZ42" s="1"/>
  <c r="BA42" s="1"/>
  <c r="BB42" s="1"/>
  <c r="BA39"/>
  <c r="BB39" s="1"/>
  <c r="BD39" s="1"/>
  <c r="AY38"/>
  <c r="AZ38" s="1"/>
  <c r="BA38" s="1"/>
  <c r="BB38" s="1"/>
  <c r="BD38" s="1"/>
  <c r="BA35"/>
  <c r="BB35" s="1"/>
  <c r="BD35" s="1"/>
  <c r="AY34"/>
  <c r="AZ34" s="1"/>
  <c r="BA34" s="1"/>
  <c r="BB34" s="1"/>
  <c r="BD34" s="1"/>
  <c r="BA31"/>
  <c r="BB31" s="1"/>
  <c r="BD31" s="1"/>
  <c r="AY30"/>
  <c r="AZ30" s="1"/>
  <c r="BA30" s="1"/>
  <c r="BB30" s="1"/>
  <c r="BD30" s="1"/>
  <c r="BA27"/>
  <c r="BB27" s="1"/>
  <c r="AY26"/>
  <c r="AZ26" s="1"/>
  <c r="BA26" s="1"/>
  <c r="BB26" s="1"/>
  <c r="BA23"/>
  <c r="BB23" s="1"/>
  <c r="BD23" s="1"/>
  <c r="AY22"/>
  <c r="AZ22" s="1"/>
  <c r="BA22" s="1"/>
  <c r="BB22" s="1"/>
  <c r="BD22" s="1"/>
  <c r="BA19"/>
  <c r="BB19" s="1"/>
  <c r="BD19" s="1"/>
  <c r="AY18"/>
  <c r="AZ18" s="1"/>
  <c r="BA18" s="1"/>
  <c r="BB18" s="1"/>
  <c r="BA15"/>
  <c r="BB15" s="1"/>
  <c r="AY14"/>
  <c r="AZ14" s="1"/>
  <c r="BA14" s="1"/>
  <c r="BB14" s="1"/>
  <c r="BD14" s="1"/>
  <c r="BA11"/>
  <c r="BB11" s="1"/>
  <c r="BA49" i="10"/>
  <c r="BB49" s="1"/>
  <c r="AI57"/>
  <c r="AK40"/>
  <c r="AL40" s="1"/>
  <c r="AN40" s="1"/>
  <c r="AK36"/>
  <c r="AL36" s="1"/>
  <c r="AN36" s="1"/>
  <c r="AK24"/>
  <c r="AL24" s="1"/>
  <c r="AK20"/>
  <c r="AL20" s="1"/>
  <c r="AN20" s="1"/>
  <c r="AK315" i="6"/>
  <c r="AL315" s="1"/>
  <c r="AN315" s="1"/>
  <c r="BA315"/>
  <c r="BB315" s="1"/>
  <c r="BD315" s="1"/>
  <c r="AI54" i="10"/>
  <c r="AK266" i="6"/>
  <c r="AL266" s="1"/>
  <c r="AN266" s="1"/>
  <c r="AK262"/>
  <c r="AL262" s="1"/>
  <c r="AN262" s="1"/>
  <c r="AK258"/>
  <c r="AL258" s="1"/>
  <c r="AN258" s="1"/>
  <c r="AK254"/>
  <c r="AL254" s="1"/>
  <c r="AN254" s="1"/>
  <c r="AK250"/>
  <c r="AL250" s="1"/>
  <c r="AN250" s="1"/>
  <c r="AI58" i="10"/>
  <c r="BA260" i="6"/>
  <c r="BB260" s="1"/>
  <c r="BD260" s="1"/>
  <c r="BA245"/>
  <c r="BB245" s="1"/>
  <c r="BD245" s="1"/>
  <c r="AK177"/>
  <c r="AL177" s="1"/>
  <c r="AN177" s="1"/>
  <c r="AK169"/>
  <c r="AL169" s="1"/>
  <c r="AN169" s="1"/>
  <c r="AK165"/>
  <c r="AL165" s="1"/>
  <c r="AN165" s="1"/>
  <c r="AK157"/>
  <c r="AL157" s="1"/>
  <c r="AN157" s="1"/>
  <c r="AK149"/>
  <c r="AL149" s="1"/>
  <c r="AN149" s="1"/>
  <c r="AK143"/>
  <c r="AL143" s="1"/>
  <c r="AN143" s="1"/>
  <c r="AK141"/>
  <c r="AL141" s="1"/>
  <c r="AN141" s="1"/>
  <c r="AK139"/>
  <c r="AL139" s="1"/>
  <c r="AN139" s="1"/>
  <c r="AK135"/>
  <c r="AL135" s="1"/>
  <c r="AN135" s="1"/>
  <c r="AK133"/>
  <c r="AL133" s="1"/>
  <c r="AN133" s="1"/>
  <c r="AK131"/>
  <c r="AL131" s="1"/>
  <c r="AN131" s="1"/>
  <c r="AK127"/>
  <c r="AL127" s="1"/>
  <c r="AN127" s="1"/>
  <c r="AK125"/>
  <c r="AL125" s="1"/>
  <c r="AN125" s="1"/>
  <c r="AK123"/>
  <c r="AL123" s="1"/>
  <c r="AN123" s="1"/>
  <c r="AK121"/>
  <c r="AL121" s="1"/>
  <c r="AN121" s="1"/>
  <c r="AK119"/>
  <c r="AL119" s="1"/>
  <c r="AN119" s="1"/>
  <c r="AK117"/>
  <c r="AL117" s="1"/>
  <c r="AN117" s="1"/>
  <c r="AK115"/>
  <c r="AL115" s="1"/>
  <c r="AN115" s="1"/>
  <c r="AK113"/>
  <c r="AL113" s="1"/>
  <c r="AN113" s="1"/>
  <c r="AK111"/>
  <c r="AL111" s="1"/>
  <c r="AN111" s="1"/>
  <c r="AK109"/>
  <c r="AL109" s="1"/>
  <c r="AN109" s="1"/>
  <c r="AK107"/>
  <c r="AL107" s="1"/>
  <c r="AN107" s="1"/>
  <c r="AK67"/>
  <c r="AL67" s="1"/>
  <c r="AN67" s="1"/>
  <c r="AI62"/>
  <c r="AJ62" s="1"/>
  <c r="AK62" s="1"/>
  <c r="AL62" s="1"/>
  <c r="AN62" s="1"/>
  <c r="AI58"/>
  <c r="AJ58" s="1"/>
  <c r="AK58" s="1"/>
  <c r="AL58" s="1"/>
  <c r="AN58" s="1"/>
  <c r="AI54"/>
  <c r="AJ54" s="1"/>
  <c r="AK54" s="1"/>
  <c r="AL54" s="1"/>
  <c r="AN54" s="1"/>
  <c r="AI50"/>
  <c r="AJ50" s="1"/>
  <c r="AK50" s="1"/>
  <c r="AL50" s="1"/>
  <c r="AN50" s="1"/>
  <c r="AI46"/>
  <c r="AJ46" s="1"/>
  <c r="AK46" s="1"/>
  <c r="AL46" s="1"/>
  <c r="AN46" s="1"/>
  <c r="AI42"/>
  <c r="AJ42" s="1"/>
  <c r="AK42" s="1"/>
  <c r="AL42" s="1"/>
  <c r="AN42" s="1"/>
  <c r="AI38"/>
  <c r="AJ38" s="1"/>
  <c r="AK38" s="1"/>
  <c r="AL38" s="1"/>
  <c r="AN38" s="1"/>
  <c r="AI34"/>
  <c r="AJ34" s="1"/>
  <c r="AK34" s="1"/>
  <c r="AL34" s="1"/>
  <c r="AN34" s="1"/>
  <c r="AI30"/>
  <c r="AJ30" s="1"/>
  <c r="AK30" s="1"/>
  <c r="AL30" s="1"/>
  <c r="AN30" s="1"/>
  <c r="AI26"/>
  <c r="AJ26" s="1"/>
  <c r="AK26" s="1"/>
  <c r="AL26" s="1"/>
  <c r="AN26" s="1"/>
  <c r="AI22"/>
  <c r="AJ22" s="1"/>
  <c r="AK22" s="1"/>
  <c r="AL22" s="1"/>
  <c r="AN22" s="1"/>
  <c r="AI18"/>
  <c r="AJ18" s="1"/>
  <c r="AK18" s="1"/>
  <c r="AL18" s="1"/>
  <c r="AN18" s="1"/>
  <c r="AI14"/>
  <c r="AJ14" s="1"/>
  <c r="AK14" s="1"/>
  <c r="AL14" s="1"/>
  <c r="AN14" s="1"/>
  <c r="AI10"/>
  <c r="AJ10" s="1"/>
  <c r="AK10" s="1"/>
  <c r="AL10" s="1"/>
  <c r="AN10" s="1"/>
  <c r="AI6"/>
  <c r="AJ6" s="1"/>
  <c r="AK6" s="1"/>
  <c r="AL6" s="1"/>
  <c r="AN6" s="1"/>
  <c r="BA59"/>
  <c r="BB59" s="1"/>
  <c r="BD59" s="1"/>
  <c r="BA55"/>
  <c r="BB55" s="1"/>
  <c r="BD55" s="1"/>
  <c r="BA51"/>
  <c r="BB51" s="1"/>
  <c r="BD51" s="1"/>
  <c r="BA47"/>
  <c r="BB47" s="1"/>
  <c r="BD47" s="1"/>
  <c r="BA43"/>
  <c r="BB43" s="1"/>
  <c r="BD43" s="1"/>
  <c r="BA39"/>
  <c r="BB39" s="1"/>
  <c r="BD39" s="1"/>
  <c r="BA35"/>
  <c r="BB35" s="1"/>
  <c r="BD35" s="1"/>
  <c r="BA31"/>
  <c r="BB31" s="1"/>
  <c r="BD31" s="1"/>
  <c r="BA27"/>
  <c r="BB27" s="1"/>
  <c r="BD27" s="1"/>
  <c r="BA23"/>
  <c r="BB23" s="1"/>
  <c r="BD23" s="1"/>
  <c r="BA19"/>
  <c r="BB19" s="1"/>
  <c r="BD19" s="1"/>
  <c r="BA15"/>
  <c r="BB15" s="1"/>
  <c r="BD15" s="1"/>
  <c r="BA11"/>
  <c r="BB11" s="1"/>
  <c r="BD11" s="1"/>
  <c r="BA7"/>
  <c r="BB7" s="1"/>
  <c r="BD7" s="1"/>
  <c r="BA115"/>
  <c r="BB115" s="1"/>
  <c r="BD115" s="1"/>
  <c r="BA113"/>
  <c r="BB113" s="1"/>
  <c r="BD113" s="1"/>
  <c r="AK28" i="3"/>
  <c r="AL28" s="1"/>
  <c r="AN28" s="1"/>
  <c r="AK24"/>
  <c r="AL24" s="1"/>
  <c r="AN24" s="1"/>
  <c r="AK20"/>
  <c r="AL20" s="1"/>
  <c r="AN20" s="1"/>
  <c r="AK16"/>
  <c r="AL16" s="1"/>
  <c r="AN16" s="1"/>
  <c r="AK12"/>
  <c r="AL12" s="1"/>
  <c r="AN12" s="1"/>
  <c r="AI9"/>
  <c r="AI7"/>
  <c r="AI5"/>
  <c r="BA6" i="4"/>
  <c r="BB6" s="1"/>
  <c r="BD6" s="1"/>
  <c r="BA4"/>
  <c r="BB4" s="1"/>
  <c r="BD4" s="1"/>
  <c r="AK74" i="2"/>
  <c r="AL74" s="1"/>
  <c r="AN74" s="1"/>
  <c r="AK72"/>
  <c r="AL72" s="1"/>
  <c r="AN72" s="1"/>
  <c r="AK70"/>
  <c r="AL70" s="1"/>
  <c r="AN70" s="1"/>
  <c r="AK68"/>
  <c r="AL68" s="1"/>
  <c r="AK66"/>
  <c r="AL66" s="1"/>
  <c r="AK64"/>
  <c r="AL64" s="1"/>
  <c r="AN64" s="1"/>
  <c r="AK62"/>
  <c r="AL62" s="1"/>
  <c r="AN62" s="1"/>
  <c r="AK60"/>
  <c r="AL60" s="1"/>
  <c r="AK58"/>
  <c r="AL58" s="1"/>
  <c r="AN58" s="1"/>
  <c r="AK56"/>
  <c r="AL56" s="1"/>
  <c r="AN56" s="1"/>
  <c r="AK54"/>
  <c r="AL54" s="1"/>
  <c r="AN54" s="1"/>
  <c r="AK52"/>
  <c r="AL52" s="1"/>
  <c r="AN52" s="1"/>
  <c r="AK50"/>
  <c r="AL50" s="1"/>
  <c r="AN50" s="1"/>
  <c r="AK48"/>
  <c r="AL48" s="1"/>
  <c r="AN48" s="1"/>
  <c r="AK46"/>
  <c r="AL46" s="1"/>
  <c r="AN46" s="1"/>
  <c r="AK44"/>
  <c r="AL44" s="1"/>
  <c r="AN44" s="1"/>
  <c r="AK42"/>
  <c r="AL42" s="1"/>
  <c r="AN42" s="1"/>
  <c r="AK40"/>
  <c r="AL40" s="1"/>
  <c r="AN40" s="1"/>
  <c r="AK38"/>
  <c r="AL38" s="1"/>
  <c r="AN38" s="1"/>
  <c r="AK36"/>
  <c r="AL36" s="1"/>
  <c r="AK33"/>
  <c r="AL33" s="1"/>
  <c r="AN33" s="1"/>
  <c r="AK22"/>
  <c r="AL22" s="1"/>
  <c r="AN22" s="1"/>
  <c r="AK18"/>
  <c r="AL18" s="1"/>
  <c r="AN18" s="1"/>
  <c r="AK14"/>
  <c r="AL14" s="1"/>
  <c r="AN14" s="1"/>
  <c r="AK10"/>
  <c r="AL10" s="1"/>
  <c r="AN10" s="1"/>
  <c r="AK6"/>
  <c r="AL6" s="1"/>
  <c r="AN6" s="1"/>
  <c r="BA74"/>
  <c r="BB74" s="1"/>
  <c r="BD74" s="1"/>
  <c r="BA70"/>
  <c r="BB70" s="1"/>
  <c r="BD70" s="1"/>
  <c r="BA66"/>
  <c r="BB66" s="1"/>
  <c r="BA62"/>
  <c r="BB62" s="1"/>
  <c r="BD62" s="1"/>
  <c r="BA58"/>
  <c r="BB58" s="1"/>
  <c r="BD58" s="1"/>
  <c r="BA54"/>
  <c r="BB54" s="1"/>
  <c r="BD54" s="1"/>
  <c r="BA50"/>
  <c r="BB50" s="1"/>
  <c r="BD50" s="1"/>
  <c r="BA46"/>
  <c r="BB46" s="1"/>
  <c r="BD46" s="1"/>
  <c r="BA42"/>
  <c r="BB42" s="1"/>
  <c r="BD42" s="1"/>
  <c r="BA38"/>
  <c r="BB38" s="1"/>
  <c r="BD38" s="1"/>
  <c r="AY15"/>
  <c r="AZ15" s="1"/>
  <c r="BA15" s="1"/>
  <c r="BB15" s="1"/>
  <c r="BD15" s="1"/>
  <c r="AY14"/>
  <c r="AZ14" s="1"/>
  <c r="BA14" s="1"/>
  <c r="BB14" s="1"/>
  <c r="BD14" s="1"/>
  <c r="AY13"/>
  <c r="AZ13" s="1"/>
  <c r="BA13" s="1"/>
  <c r="BB13" s="1"/>
  <c r="BD13" s="1"/>
  <c r="AY12"/>
  <c r="AZ12" s="1"/>
  <c r="BA12" s="1"/>
  <c r="BB12" s="1"/>
  <c r="BD12" s="1"/>
  <c r="AY11"/>
  <c r="AZ11" s="1"/>
  <c r="BA11" s="1"/>
  <c r="BB11" s="1"/>
  <c r="BD11" s="1"/>
  <c r="AY10"/>
  <c r="AZ10" s="1"/>
  <c r="BA10" s="1"/>
  <c r="BB10" s="1"/>
  <c r="BD10" s="1"/>
  <c r="AY9"/>
  <c r="AZ9" s="1"/>
  <c r="BA9" s="1"/>
  <c r="BB9" s="1"/>
  <c r="BD9" s="1"/>
  <c r="AY8"/>
  <c r="AZ8" s="1"/>
  <c r="BA8" s="1"/>
  <c r="BB8" s="1"/>
  <c r="BD8" s="1"/>
  <c r="AY7"/>
  <c r="AZ7" s="1"/>
  <c r="BA7" s="1"/>
  <c r="BB7" s="1"/>
  <c r="BD7" s="1"/>
  <c r="AY6"/>
  <c r="AZ6" s="1"/>
  <c r="BA6" s="1"/>
  <c r="BB6" s="1"/>
  <c r="BD6" s="1"/>
  <c r="AY5"/>
  <c r="AZ5" s="1"/>
  <c r="V45" i="19"/>
  <c r="W45" s="1"/>
  <c r="X45" s="1"/>
  <c r="V43"/>
  <c r="W43"/>
  <c r="X43" s="1"/>
  <c r="AJ7"/>
  <c r="AK7" s="1"/>
  <c r="AL7" s="1"/>
  <c r="AN7" s="1"/>
  <c r="AZ7"/>
  <c r="BA7" s="1"/>
  <c r="BB7" s="1"/>
  <c r="BD7" s="1"/>
  <c r="V37"/>
  <c r="W37" s="1"/>
  <c r="X37" s="1"/>
  <c r="V35"/>
  <c r="W35"/>
  <c r="X35" s="1"/>
  <c r="V32"/>
  <c r="W32" s="1"/>
  <c r="X32" s="1"/>
  <c r="X16"/>
  <c r="V16"/>
  <c r="W16"/>
  <c r="W9"/>
  <c r="X9" s="1"/>
  <c r="V9"/>
  <c r="V25" i="18"/>
  <c r="W25"/>
  <c r="X25" s="1"/>
  <c r="V21"/>
  <c r="W21" s="1"/>
  <c r="X21" s="1"/>
  <c r="X17"/>
  <c r="V17"/>
  <c r="W17"/>
  <c r="V13"/>
  <c r="W13" s="1"/>
  <c r="X13" s="1"/>
  <c r="V9"/>
  <c r="W9"/>
  <c r="X9" s="1"/>
  <c r="V5"/>
  <c r="W5" s="1"/>
  <c r="X5" s="1"/>
  <c r="AZ36"/>
  <c r="BA36" s="1"/>
  <c r="BB36" s="1"/>
  <c r="BD36" s="1"/>
  <c r="AJ36"/>
  <c r="AK36" s="1"/>
  <c r="AL36" s="1"/>
  <c r="AN36" s="1"/>
  <c r="V38" i="19"/>
  <c r="W38"/>
  <c r="X38" s="1"/>
  <c r="AJ28" i="18"/>
  <c r="AK28" s="1"/>
  <c r="AL28" s="1"/>
  <c r="AZ28"/>
  <c r="V19" i="13"/>
  <c r="W19" s="1"/>
  <c r="X19" s="1"/>
  <c r="V16"/>
  <c r="W16"/>
  <c r="X16" s="1"/>
  <c r="V10"/>
  <c r="W10" s="1"/>
  <c r="X10" s="1"/>
  <c r="AJ21" i="14"/>
  <c r="AZ21"/>
  <c r="BA21" s="1"/>
  <c r="BB21" s="1"/>
  <c r="BD21" s="1"/>
  <c r="AJ24"/>
  <c r="AK24" s="1"/>
  <c r="AL24" s="1"/>
  <c r="AN24" s="1"/>
  <c r="AZ24"/>
  <c r="BA24" s="1"/>
  <c r="BB24" s="1"/>
  <c r="BD24" s="1"/>
  <c r="AJ34" i="13"/>
  <c r="AK34" s="1"/>
  <c r="AL34" s="1"/>
  <c r="AN34" s="1"/>
  <c r="AZ34"/>
  <c r="BA34" s="1"/>
  <c r="BB34" s="1"/>
  <c r="BD34" s="1"/>
  <c r="AJ30"/>
  <c r="AK30" s="1"/>
  <c r="AL30" s="1"/>
  <c r="AN30" s="1"/>
  <c r="AZ30"/>
  <c r="BA30" s="1"/>
  <c r="BB30" s="1"/>
  <c r="BD30" s="1"/>
  <c r="AJ26"/>
  <c r="AK26" s="1"/>
  <c r="AL26" s="1"/>
  <c r="AN26" s="1"/>
  <c r="AZ26"/>
  <c r="BA26" s="1"/>
  <c r="BB26" s="1"/>
  <c r="BD26" s="1"/>
  <c r="V57" i="10"/>
  <c r="W57"/>
  <c r="X57" s="1"/>
  <c r="V50"/>
  <c r="W50" s="1"/>
  <c r="X50" s="1"/>
  <c r="AJ7" i="11"/>
  <c r="AK7" s="1"/>
  <c r="AL7" s="1"/>
  <c r="AZ7"/>
  <c r="BA7" s="1"/>
  <c r="BB7" s="1"/>
  <c r="W48" i="10"/>
  <c r="X48" s="1"/>
  <c r="V48"/>
  <c r="V44"/>
  <c r="W44" s="1"/>
  <c r="X44" s="1"/>
  <c r="W33"/>
  <c r="X33" s="1"/>
  <c r="V33"/>
  <c r="V30"/>
  <c r="W30" s="1"/>
  <c r="X30" s="1"/>
  <c r="W11"/>
  <c r="X11" s="1"/>
  <c r="V11"/>
  <c r="V4"/>
  <c r="W4" s="1"/>
  <c r="X4" s="1"/>
  <c r="V50" i="7"/>
  <c r="W50"/>
  <c r="X50" s="1"/>
  <c r="V46"/>
  <c r="W46"/>
  <c r="X46"/>
  <c r="V42"/>
  <c r="W42"/>
  <c r="X42" s="1"/>
  <c r="V38"/>
  <c r="W38" s="1"/>
  <c r="X38" s="1"/>
  <c r="V34"/>
  <c r="W34"/>
  <c r="X34" s="1"/>
  <c r="V30"/>
  <c r="W30" s="1"/>
  <c r="X30" s="1"/>
  <c r="V26"/>
  <c r="W26"/>
  <c r="X26" s="1"/>
  <c r="V22"/>
  <c r="W22" s="1"/>
  <c r="X22" s="1"/>
  <c r="V18"/>
  <c r="W18"/>
  <c r="X18" s="1"/>
  <c r="V14"/>
  <c r="W14" s="1"/>
  <c r="X14" s="1"/>
  <c r="V10"/>
  <c r="W10"/>
  <c r="X10" s="1"/>
  <c r="V6"/>
  <c r="W6" s="1"/>
  <c r="X6" s="1"/>
  <c r="V312" i="6"/>
  <c r="W312" s="1"/>
  <c r="X312" s="1"/>
  <c r="X308"/>
  <c r="V308"/>
  <c r="W308"/>
  <c r="V304"/>
  <c r="W304" s="1"/>
  <c r="X304" s="1"/>
  <c r="V291"/>
  <c r="W291"/>
  <c r="X291" s="1"/>
  <c r="V289"/>
  <c r="W289" s="1"/>
  <c r="X289" s="1"/>
  <c r="V287"/>
  <c r="W287" s="1"/>
  <c r="X287" s="1"/>
  <c r="W285"/>
  <c r="X285" s="1"/>
  <c r="V285"/>
  <c r="V283"/>
  <c r="W283" s="1"/>
  <c r="X283" s="1"/>
  <c r="W281"/>
  <c r="X281" s="1"/>
  <c r="V281"/>
  <c r="X279"/>
  <c r="W279"/>
  <c r="V279"/>
  <c r="W277"/>
  <c r="X277" s="1"/>
  <c r="V277"/>
  <c r="X275"/>
  <c r="W275"/>
  <c r="V275"/>
  <c r="W273"/>
  <c r="X273" s="1"/>
  <c r="V273"/>
  <c r="V271"/>
  <c r="W271" s="1"/>
  <c r="X271" s="1"/>
  <c r="W269"/>
  <c r="X269" s="1"/>
  <c r="V269"/>
  <c r="V320"/>
  <c r="W320" s="1"/>
  <c r="X320" s="1"/>
  <c r="W318"/>
  <c r="X318" s="1"/>
  <c r="V318"/>
  <c r="V60" i="10"/>
  <c r="W60" s="1"/>
  <c r="X60" s="1"/>
  <c r="AJ27"/>
  <c r="AZ27"/>
  <c r="BA27" s="1"/>
  <c r="BB27" s="1"/>
  <c r="AJ7"/>
  <c r="AZ7"/>
  <c r="BA7" s="1"/>
  <c r="BB7" s="1"/>
  <c r="W268" i="6"/>
  <c r="X268" s="1"/>
  <c r="V268"/>
  <c r="AJ267"/>
  <c r="AK267" s="1"/>
  <c r="AL267" s="1"/>
  <c r="AN267" s="1"/>
  <c r="AZ267"/>
  <c r="BA267" s="1"/>
  <c r="BB267" s="1"/>
  <c r="BD267" s="1"/>
  <c r="AJ265"/>
  <c r="AZ265"/>
  <c r="BA265" s="1"/>
  <c r="BB265" s="1"/>
  <c r="BD265" s="1"/>
  <c r="AJ263"/>
  <c r="AK263" s="1"/>
  <c r="AL263" s="1"/>
  <c r="AN263" s="1"/>
  <c r="AZ263"/>
  <c r="BA263" s="1"/>
  <c r="BB263" s="1"/>
  <c r="BD263" s="1"/>
  <c r="AJ261"/>
  <c r="AZ261"/>
  <c r="BA261" s="1"/>
  <c r="BB261" s="1"/>
  <c r="BD261" s="1"/>
  <c r="AZ161"/>
  <c r="BA161" s="1"/>
  <c r="BB161" s="1"/>
  <c r="BD161" s="1"/>
  <c r="AJ161"/>
  <c r="AK161" s="1"/>
  <c r="AL161" s="1"/>
  <c r="AN161" s="1"/>
  <c r="AZ153"/>
  <c r="BA153" s="1"/>
  <c r="BB153" s="1"/>
  <c r="BD153" s="1"/>
  <c r="AJ153"/>
  <c r="AK153" s="1"/>
  <c r="AL153" s="1"/>
  <c r="AN153" s="1"/>
  <c r="AZ145"/>
  <c r="BA145" s="1"/>
  <c r="BB145" s="1"/>
  <c r="BD145" s="1"/>
  <c r="AJ145"/>
  <c r="AK145" s="1"/>
  <c r="AL145" s="1"/>
  <c r="AN145" s="1"/>
  <c r="AZ137"/>
  <c r="BA137" s="1"/>
  <c r="BB137" s="1"/>
  <c r="BD137" s="1"/>
  <c r="AJ137"/>
  <c r="AK137" s="1"/>
  <c r="AL137" s="1"/>
  <c r="AN137" s="1"/>
  <c r="AZ129"/>
  <c r="BA129" s="1"/>
  <c r="BB129" s="1"/>
  <c r="BD129" s="1"/>
  <c r="AJ129"/>
  <c r="AK129" s="1"/>
  <c r="AL129" s="1"/>
  <c r="AN129" s="1"/>
  <c r="AZ174"/>
  <c r="BA174" s="1"/>
  <c r="BB174" s="1"/>
  <c r="BD174" s="1"/>
  <c r="AJ174"/>
  <c r="AK174" s="1"/>
  <c r="AL174" s="1"/>
  <c r="AN174" s="1"/>
  <c r="AZ166"/>
  <c r="BA166" s="1"/>
  <c r="BB166" s="1"/>
  <c r="BD166" s="1"/>
  <c r="AJ166"/>
  <c r="AK166" s="1"/>
  <c r="AL166" s="1"/>
  <c r="AN166" s="1"/>
  <c r="AZ158"/>
  <c r="BA158" s="1"/>
  <c r="BB158" s="1"/>
  <c r="BD158" s="1"/>
  <c r="AJ158"/>
  <c r="AK158" s="1"/>
  <c r="AL158" s="1"/>
  <c r="AN158" s="1"/>
  <c r="AZ150"/>
  <c r="BA150" s="1"/>
  <c r="BB150" s="1"/>
  <c r="BD150" s="1"/>
  <c r="AJ150"/>
  <c r="AK150" s="1"/>
  <c r="AL150" s="1"/>
  <c r="AN150" s="1"/>
  <c r="AZ142"/>
  <c r="BA142" s="1"/>
  <c r="BB142" s="1"/>
  <c r="BD142" s="1"/>
  <c r="AJ142"/>
  <c r="AK142" s="1"/>
  <c r="AL142" s="1"/>
  <c r="AN142" s="1"/>
  <c r="AZ134"/>
  <c r="BA134" s="1"/>
  <c r="BB134" s="1"/>
  <c r="BD134" s="1"/>
  <c r="AJ134"/>
  <c r="AK134" s="1"/>
  <c r="AL134" s="1"/>
  <c r="AN134" s="1"/>
  <c r="AZ126"/>
  <c r="BA126" s="1"/>
  <c r="BB126" s="1"/>
  <c r="BD126" s="1"/>
  <c r="AJ126"/>
  <c r="AK126" s="1"/>
  <c r="AL126" s="1"/>
  <c r="AN126" s="1"/>
  <c r="V102"/>
  <c r="W102"/>
  <c r="X102" s="1"/>
  <c r="V98"/>
  <c r="W98" s="1"/>
  <c r="X98" s="1"/>
  <c r="V94"/>
  <c r="W94"/>
  <c r="X94" s="1"/>
  <c r="V90"/>
  <c r="W90" s="1"/>
  <c r="X90" s="1"/>
  <c r="V86"/>
  <c r="W86"/>
  <c r="X86" s="1"/>
  <c r="V82"/>
  <c r="W82" s="1"/>
  <c r="X82" s="1"/>
  <c r="V78"/>
  <c r="W78"/>
  <c r="X78" s="1"/>
  <c r="V74"/>
  <c r="W74" s="1"/>
  <c r="X74" s="1"/>
  <c r="V70"/>
  <c r="W70"/>
  <c r="X70" s="1"/>
  <c r="AZ173"/>
  <c r="BA173" s="1"/>
  <c r="BB173" s="1"/>
  <c r="BD173" s="1"/>
  <c r="AJ173"/>
  <c r="AK173" s="1"/>
  <c r="AL173" s="1"/>
  <c r="AN173" s="1"/>
  <c r="W8" i="3"/>
  <c r="X8" s="1"/>
  <c r="V8"/>
  <c r="W4"/>
  <c r="X4"/>
  <c r="V4"/>
  <c r="AJ71" i="2"/>
  <c r="AK71" s="1"/>
  <c r="AL71" s="1"/>
  <c r="AN71" s="1"/>
  <c r="AZ71"/>
  <c r="AJ67"/>
  <c r="AK67" s="1"/>
  <c r="AL67" s="1"/>
  <c r="AN67" s="1"/>
  <c r="AZ67"/>
  <c r="AJ63"/>
  <c r="AK63" s="1"/>
  <c r="AL63" s="1"/>
  <c r="AN63" s="1"/>
  <c r="AZ63"/>
  <c r="AJ59"/>
  <c r="AK59" s="1"/>
  <c r="AL59" s="1"/>
  <c r="AZ59"/>
  <c r="AJ55"/>
  <c r="AK55" s="1"/>
  <c r="AL55" s="1"/>
  <c r="AN55" s="1"/>
  <c r="AZ55"/>
  <c r="AJ51"/>
  <c r="AK51" s="1"/>
  <c r="AL51" s="1"/>
  <c r="AN51" s="1"/>
  <c r="AZ51"/>
  <c r="AJ47"/>
  <c r="AK47" s="1"/>
  <c r="AL47" s="1"/>
  <c r="AN47" s="1"/>
  <c r="AZ47"/>
  <c r="AJ43"/>
  <c r="AK43" s="1"/>
  <c r="AL43" s="1"/>
  <c r="AZ43"/>
  <c r="AJ39"/>
  <c r="AK39" s="1"/>
  <c r="AL39" s="1"/>
  <c r="AN39" s="1"/>
  <c r="AZ39"/>
  <c r="BA77" i="19"/>
  <c r="BB77" s="1"/>
  <c r="BD77" s="1"/>
  <c r="BA57"/>
  <c r="BB57" s="1"/>
  <c r="BD57" s="1"/>
  <c r="AY53"/>
  <c r="AZ53" s="1"/>
  <c r="BA53" s="1"/>
  <c r="BB53" s="1"/>
  <c r="BD53" s="1"/>
  <c r="AY49"/>
  <c r="AZ49" s="1"/>
  <c r="BA49" s="1"/>
  <c r="BB49" s="1"/>
  <c r="BD49" s="1"/>
  <c r="AK42"/>
  <c r="AL42" s="1"/>
  <c r="AN42" s="1"/>
  <c r="BA33"/>
  <c r="BB33" s="1"/>
  <c r="BD33" s="1"/>
  <c r="BA26"/>
  <c r="BB26" s="1"/>
  <c r="BD26" s="1"/>
  <c r="BA13"/>
  <c r="BB13" s="1"/>
  <c r="BD13" s="1"/>
  <c r="AK6"/>
  <c r="AL6" s="1"/>
  <c r="AN6" s="1"/>
  <c r="BA12"/>
  <c r="BB12" s="1"/>
  <c r="BD12" s="1"/>
  <c r="BA6"/>
  <c r="BB6" s="1"/>
  <c r="BD6" s="1"/>
  <c r="BA37" i="18"/>
  <c r="BB37" s="1"/>
  <c r="BD37" s="1"/>
  <c r="BA35"/>
  <c r="BB35" s="1"/>
  <c r="BD35" s="1"/>
  <c r="BA28"/>
  <c r="BB28" s="1"/>
  <c r="AY53"/>
  <c r="V8" i="1"/>
  <c r="BA48" i="18"/>
  <c r="BB48" s="1"/>
  <c r="BD48" s="1"/>
  <c r="BA46"/>
  <c r="BB46" s="1"/>
  <c r="BD46" s="1"/>
  <c r="AI37"/>
  <c r="AJ37" s="1"/>
  <c r="AK37" s="1"/>
  <c r="AL37" s="1"/>
  <c r="AN37" s="1"/>
  <c r="BA32"/>
  <c r="BB32" s="1"/>
  <c r="AK21" i="14"/>
  <c r="AL21" s="1"/>
  <c r="AN21" s="1"/>
  <c r="AK17"/>
  <c r="AL17" s="1"/>
  <c r="AN17" s="1"/>
  <c r="AK15"/>
  <c r="AL15" s="1"/>
  <c r="AN15" s="1"/>
  <c r="AK13"/>
  <c r="AL13" s="1"/>
  <c r="AN13" s="1"/>
  <c r="AK10"/>
  <c r="AL10" s="1"/>
  <c r="AN10" s="1"/>
  <c r="AK6"/>
  <c r="AL6" s="1"/>
  <c r="AI4"/>
  <c r="AI25"/>
  <c r="AJ25" s="1"/>
  <c r="AK25" s="1"/>
  <c r="AL25" s="1"/>
  <c r="BA6"/>
  <c r="BB6" s="1"/>
  <c r="AK40" i="13"/>
  <c r="AL40" s="1"/>
  <c r="AN40" s="1"/>
  <c r="AK36"/>
  <c r="AL36" s="1"/>
  <c r="AN36" s="1"/>
  <c r="AK32"/>
  <c r="AL32" s="1"/>
  <c r="AN32" s="1"/>
  <c r="AK28"/>
  <c r="AL28" s="1"/>
  <c r="AN28" s="1"/>
  <c r="AK20"/>
  <c r="AL20" s="1"/>
  <c r="AN20" s="1"/>
  <c r="AK12"/>
  <c r="AL12" s="1"/>
  <c r="AN12" s="1"/>
  <c r="AK8"/>
  <c r="AL8" s="1"/>
  <c r="AN8" s="1"/>
  <c r="AK4"/>
  <c r="AL4" s="1"/>
  <c r="AN4" s="1"/>
  <c r="BA16" i="14"/>
  <c r="BB16" s="1"/>
  <c r="BA33" i="13"/>
  <c r="BB33" s="1"/>
  <c r="BD33" s="1"/>
  <c r="BA29"/>
  <c r="BB29" s="1"/>
  <c r="BD29" s="1"/>
  <c r="BA25"/>
  <c r="BB25" s="1"/>
  <c r="BD25" s="1"/>
  <c r="BA21"/>
  <c r="BB21" s="1"/>
  <c r="BD21" s="1"/>
  <c r="BA17"/>
  <c r="BB17" s="1"/>
  <c r="BD17" s="1"/>
  <c r="BA9"/>
  <c r="BB9" s="1"/>
  <c r="BD9" s="1"/>
  <c r="BA5"/>
  <c r="BB5" s="1"/>
  <c r="BD5" s="1"/>
  <c r="BA15" i="14"/>
  <c r="BB15" s="1"/>
  <c r="BD15" s="1"/>
  <c r="BA13"/>
  <c r="BB13" s="1"/>
  <c r="BD13" s="1"/>
  <c r="AY49" i="11"/>
  <c r="AZ49" s="1"/>
  <c r="BA49" s="1"/>
  <c r="BB49" s="1"/>
  <c r="BD49" s="1"/>
  <c r="AY45"/>
  <c r="AZ45" s="1"/>
  <c r="BA45" s="1"/>
  <c r="BB45" s="1"/>
  <c r="BD45" s="1"/>
  <c r="AY41"/>
  <c r="AZ41" s="1"/>
  <c r="BA41" s="1"/>
  <c r="BB41" s="1"/>
  <c r="BD41" s="1"/>
  <c r="AY37"/>
  <c r="AZ37" s="1"/>
  <c r="BA37" s="1"/>
  <c r="BB37" s="1"/>
  <c r="BD37" s="1"/>
  <c r="AY33"/>
  <c r="AZ33" s="1"/>
  <c r="BA33" s="1"/>
  <c r="BB33" s="1"/>
  <c r="AY29"/>
  <c r="AZ29" s="1"/>
  <c r="BA29" s="1"/>
  <c r="BB29" s="1"/>
  <c r="BD29" s="1"/>
  <c r="AY25"/>
  <c r="AZ25" s="1"/>
  <c r="BA25" s="1"/>
  <c r="BB25" s="1"/>
  <c r="BD25" s="1"/>
  <c r="AY21"/>
  <c r="AZ21" s="1"/>
  <c r="BA21" s="1"/>
  <c r="BB21" s="1"/>
  <c r="BD21" s="1"/>
  <c r="AY17"/>
  <c r="AZ17" s="1"/>
  <c r="BA17" s="1"/>
  <c r="BB17" s="1"/>
  <c r="BD17" s="1"/>
  <c r="BA10"/>
  <c r="BB10" s="1"/>
  <c r="BD10" s="1"/>
  <c r="AK55" i="10"/>
  <c r="AL55" s="1"/>
  <c r="AN55" s="1"/>
  <c r="AK39"/>
  <c r="AL39" s="1"/>
  <c r="AN39" s="1"/>
  <c r="AK35"/>
  <c r="AL35" s="1"/>
  <c r="AN35" s="1"/>
  <c r="AK31"/>
  <c r="AL31" s="1"/>
  <c r="AK27"/>
  <c r="AL27" s="1"/>
  <c r="AK23"/>
  <c r="AL23" s="1"/>
  <c r="AN23" s="1"/>
  <c r="AK15"/>
  <c r="AL15" s="1"/>
  <c r="AK7"/>
  <c r="AL7" s="1"/>
  <c r="BA22"/>
  <c r="BB22" s="1"/>
  <c r="AI60"/>
  <c r="AK265" i="6"/>
  <c r="AL265" s="1"/>
  <c r="AN265" s="1"/>
  <c r="AK261"/>
  <c r="AL261" s="1"/>
  <c r="AN261" s="1"/>
  <c r="AK257"/>
  <c r="AL257" s="1"/>
  <c r="AN257" s="1"/>
  <c r="AK253"/>
  <c r="AL253" s="1"/>
  <c r="AN253" s="1"/>
  <c r="AK249"/>
  <c r="AL249" s="1"/>
  <c r="AN249" s="1"/>
  <c r="AK176"/>
  <c r="AL176" s="1"/>
  <c r="AN176" s="1"/>
  <c r="AK172"/>
  <c r="AL172" s="1"/>
  <c r="AN172" s="1"/>
  <c r="AK168"/>
  <c r="AL168" s="1"/>
  <c r="AN168" s="1"/>
  <c r="AK164"/>
  <c r="AL164" s="1"/>
  <c r="AN164" s="1"/>
  <c r="AK160"/>
  <c r="AL160" s="1"/>
  <c r="AN160" s="1"/>
  <c r="AK156"/>
  <c r="AL156" s="1"/>
  <c r="AN156" s="1"/>
  <c r="AK152"/>
  <c r="AL152" s="1"/>
  <c r="AN152" s="1"/>
  <c r="AK148"/>
  <c r="AL148" s="1"/>
  <c r="AN148" s="1"/>
  <c r="AK66"/>
  <c r="AL66" s="1"/>
  <c r="AN66" s="1"/>
  <c r="AI65"/>
  <c r="AJ65" s="1"/>
  <c r="AK65" s="1"/>
  <c r="AL65" s="1"/>
  <c r="AN65" s="1"/>
  <c r="AI61"/>
  <c r="AJ61" s="1"/>
  <c r="AK61" s="1"/>
  <c r="AL61" s="1"/>
  <c r="AN61" s="1"/>
  <c r="AI57"/>
  <c r="AJ57" s="1"/>
  <c r="AK57" s="1"/>
  <c r="AL57" s="1"/>
  <c r="AN57" s="1"/>
  <c r="AI53"/>
  <c r="AJ53" s="1"/>
  <c r="AK53" s="1"/>
  <c r="AL53" s="1"/>
  <c r="AN53" s="1"/>
  <c r="AI49"/>
  <c r="AJ49" s="1"/>
  <c r="AK49" s="1"/>
  <c r="AL49" s="1"/>
  <c r="AN49" s="1"/>
  <c r="AI45"/>
  <c r="AJ45" s="1"/>
  <c r="AK45" s="1"/>
  <c r="AL45" s="1"/>
  <c r="AN45" s="1"/>
  <c r="AI41"/>
  <c r="AJ41" s="1"/>
  <c r="AK41" s="1"/>
  <c r="AL41" s="1"/>
  <c r="AN41" s="1"/>
  <c r="AI37"/>
  <c r="AJ37" s="1"/>
  <c r="AK37" s="1"/>
  <c r="AL37" s="1"/>
  <c r="AN37" s="1"/>
  <c r="AI33"/>
  <c r="AJ33" s="1"/>
  <c r="AK33" s="1"/>
  <c r="AL33" s="1"/>
  <c r="AN33" s="1"/>
  <c r="AI29"/>
  <c r="AJ29" s="1"/>
  <c r="AK29" s="1"/>
  <c r="AL29" s="1"/>
  <c r="AN29" s="1"/>
  <c r="AI25"/>
  <c r="AJ25" s="1"/>
  <c r="AK25" s="1"/>
  <c r="AL25" s="1"/>
  <c r="AN25" s="1"/>
  <c r="AI21"/>
  <c r="AJ21" s="1"/>
  <c r="AK21" s="1"/>
  <c r="AL21" s="1"/>
  <c r="AN21" s="1"/>
  <c r="AI17"/>
  <c r="AJ17" s="1"/>
  <c r="AK17" s="1"/>
  <c r="AL17" s="1"/>
  <c r="AN17" s="1"/>
  <c r="AI13"/>
  <c r="AJ13" s="1"/>
  <c r="AK13" s="1"/>
  <c r="AL13" s="1"/>
  <c r="AN13" s="1"/>
  <c r="AI9"/>
  <c r="AJ9" s="1"/>
  <c r="AK9" s="1"/>
  <c r="AL9" s="1"/>
  <c r="AN9" s="1"/>
  <c r="AI5"/>
  <c r="AJ5" s="1"/>
  <c r="AK5" s="1"/>
  <c r="AL5" s="1"/>
  <c r="AN5" s="1"/>
  <c r="BA121"/>
  <c r="BB121" s="1"/>
  <c r="BD121" s="1"/>
  <c r="BA119"/>
  <c r="BB119" s="1"/>
  <c r="BD119" s="1"/>
  <c r="BA117"/>
  <c r="BB117" s="1"/>
  <c r="BD117" s="1"/>
  <c r="BA66"/>
  <c r="BB66" s="1"/>
  <c r="BD66" s="1"/>
  <c r="BA58"/>
  <c r="BB58" s="1"/>
  <c r="BD58" s="1"/>
  <c r="BA54"/>
  <c r="BB54" s="1"/>
  <c r="BD54" s="1"/>
  <c r="BA50"/>
  <c r="BB50" s="1"/>
  <c r="BD50" s="1"/>
  <c r="BA46"/>
  <c r="BB46" s="1"/>
  <c r="BD46" s="1"/>
  <c r="BA42"/>
  <c r="BB42" s="1"/>
  <c r="BD42" s="1"/>
  <c r="BA38"/>
  <c r="BB38" s="1"/>
  <c r="BD38" s="1"/>
  <c r="BA34"/>
  <c r="BB34" s="1"/>
  <c r="BD34" s="1"/>
  <c r="BA30"/>
  <c r="BB30" s="1"/>
  <c r="BD30" s="1"/>
  <c r="BA26"/>
  <c r="BB26" s="1"/>
  <c r="BD26" s="1"/>
  <c r="BA22"/>
  <c r="BB22" s="1"/>
  <c r="BD22" s="1"/>
  <c r="BA18"/>
  <c r="BB18" s="1"/>
  <c r="BD18" s="1"/>
  <c r="BA14"/>
  <c r="BB14" s="1"/>
  <c r="BD14" s="1"/>
  <c r="BA10"/>
  <c r="BB10" s="1"/>
  <c r="BD10" s="1"/>
  <c r="AK27" i="3"/>
  <c r="AL27" s="1"/>
  <c r="AN27" s="1"/>
  <c r="AK23"/>
  <c r="AL23" s="1"/>
  <c r="AN23" s="1"/>
  <c r="AK19"/>
  <c r="AL19" s="1"/>
  <c r="AN19" s="1"/>
  <c r="AK15"/>
  <c r="AL15" s="1"/>
  <c r="AN15" s="1"/>
  <c r="AK11"/>
  <c r="AL11" s="1"/>
  <c r="AN11" s="1"/>
  <c r="AK7" i="4"/>
  <c r="AL7" s="1"/>
  <c r="AN7" s="1"/>
  <c r="AK5"/>
  <c r="AL5" s="1"/>
  <c r="AN5" s="1"/>
  <c r="AK32" i="2"/>
  <c r="AL32" s="1"/>
  <c r="AN32" s="1"/>
  <c r="AK29"/>
  <c r="AL29" s="1"/>
  <c r="AK27"/>
  <c r="AL27" s="1"/>
  <c r="AN27" s="1"/>
  <c r="AK24"/>
  <c r="AL24" s="1"/>
  <c r="AN24" s="1"/>
  <c r="AK21"/>
  <c r="AL21" s="1"/>
  <c r="AN21" s="1"/>
  <c r="AK17"/>
  <c r="AL17" s="1"/>
  <c r="AN17" s="1"/>
  <c r="AK13"/>
  <c r="AL13" s="1"/>
  <c r="AN13" s="1"/>
  <c r="AK9"/>
  <c r="AL9" s="1"/>
  <c r="AN9" s="1"/>
  <c r="AK5"/>
  <c r="AL5" s="1"/>
  <c r="AN5" s="1"/>
  <c r="BA10" i="4"/>
  <c r="BB10" s="1"/>
  <c r="BD10" s="1"/>
  <c r="BA71" i="2"/>
  <c r="BB71" s="1"/>
  <c r="BD71" s="1"/>
  <c r="BA67"/>
  <c r="BB67" s="1"/>
  <c r="BD67" s="1"/>
  <c r="BA63"/>
  <c r="BB63" s="1"/>
  <c r="BD63" s="1"/>
  <c r="BA59"/>
  <c r="BB59" s="1"/>
  <c r="BA55"/>
  <c r="BB55" s="1"/>
  <c r="BD55" s="1"/>
  <c r="BA51"/>
  <c r="BB51" s="1"/>
  <c r="BD51" s="1"/>
  <c r="BA47"/>
  <c r="BB47" s="1"/>
  <c r="BD47" s="1"/>
  <c r="BA43"/>
  <c r="BB43" s="1"/>
  <c r="BA39"/>
  <c r="BB39" s="1"/>
  <c r="BD39" s="1"/>
  <c r="BA35"/>
  <c r="BB35" s="1"/>
  <c r="BD35" s="1"/>
  <c r="BA34"/>
  <c r="BB34" s="1"/>
  <c r="BD34" s="1"/>
  <c r="BA33"/>
  <c r="BB33" s="1"/>
  <c r="BD33" s="1"/>
  <c r="BA32"/>
  <c r="BB32" s="1"/>
  <c r="BD32" s="1"/>
  <c r="BA31"/>
  <c r="BB31" s="1"/>
  <c r="BD31" s="1"/>
  <c r="BA30"/>
  <c r="BB30" s="1"/>
  <c r="BD30" s="1"/>
  <c r="BA29"/>
  <c r="BB29" s="1"/>
  <c r="BA28"/>
  <c r="BB28" s="1"/>
  <c r="BD28" s="1"/>
  <c r="BA27"/>
  <c r="BB27" s="1"/>
  <c r="BD27" s="1"/>
  <c r="BA26"/>
  <c r="BB26" s="1"/>
  <c r="BD26" s="1"/>
  <c r="BA25"/>
  <c r="BB25" s="1"/>
  <c r="BA24"/>
  <c r="BB24" s="1"/>
  <c r="BD24" s="1"/>
  <c r="BA23"/>
  <c r="BB23" s="1"/>
  <c r="BD23" s="1"/>
  <c r="BA22"/>
  <c r="BB22" s="1"/>
  <c r="BD22" s="1"/>
  <c r="BA21"/>
  <c r="BB21" s="1"/>
  <c r="BD21" s="1"/>
  <c r="BA20"/>
  <c r="BB20" s="1"/>
  <c r="BD20" s="1"/>
  <c r="BA19"/>
  <c r="BB19" s="1"/>
  <c r="BD19" s="1"/>
  <c r="BA18"/>
  <c r="BB18" s="1"/>
  <c r="BD18" s="1"/>
  <c r="BA17"/>
  <c r="BB17" s="1"/>
  <c r="BD17" s="1"/>
  <c r="AM7" i="20" l="1"/>
  <c r="AN7" s="1"/>
  <c r="BC7"/>
  <c r="BD7" s="1"/>
  <c r="AM43" i="2"/>
  <c r="AN43" s="1"/>
  <c r="AM59"/>
  <c r="AN59" s="1"/>
  <c r="AZ70" i="6"/>
  <c r="AJ70"/>
  <c r="AK70" s="1"/>
  <c r="AL70" s="1"/>
  <c r="AN70" s="1"/>
  <c r="AZ90"/>
  <c r="BA90" s="1"/>
  <c r="BB90" s="1"/>
  <c r="BD90" s="1"/>
  <c r="AJ90"/>
  <c r="AK90" s="1"/>
  <c r="AL90" s="1"/>
  <c r="AN90" s="1"/>
  <c r="AZ102"/>
  <c r="BA102" s="1"/>
  <c r="BB102" s="1"/>
  <c r="BD102" s="1"/>
  <c r="AJ102"/>
  <c r="AK102" s="1"/>
  <c r="AL102" s="1"/>
  <c r="AN102" s="1"/>
  <c r="AJ269"/>
  <c r="AK269" s="1"/>
  <c r="AL269" s="1"/>
  <c r="AN269" s="1"/>
  <c r="AZ269"/>
  <c r="BA269" s="1"/>
  <c r="BB269" s="1"/>
  <c r="BD269" s="1"/>
  <c r="AJ277"/>
  <c r="AK277" s="1"/>
  <c r="AL277" s="1"/>
  <c r="AN277" s="1"/>
  <c r="AZ277"/>
  <c r="BA277" s="1"/>
  <c r="BB277" s="1"/>
  <c r="BD277" s="1"/>
  <c r="AJ285"/>
  <c r="AK285" s="1"/>
  <c r="AL285" s="1"/>
  <c r="AN285" s="1"/>
  <c r="AZ285"/>
  <c r="BA285" s="1"/>
  <c r="BB285" s="1"/>
  <c r="BD285" s="1"/>
  <c r="AZ22" i="7"/>
  <c r="BA22" s="1"/>
  <c r="BB22" s="1"/>
  <c r="BD22" s="1"/>
  <c r="AJ22"/>
  <c r="AK22" s="1"/>
  <c r="AL22" s="1"/>
  <c r="AN22" s="1"/>
  <c r="AZ34"/>
  <c r="BA34" s="1"/>
  <c r="BB34" s="1"/>
  <c r="BD34" s="1"/>
  <c r="AJ34"/>
  <c r="AK34" s="1"/>
  <c r="AL34" s="1"/>
  <c r="AN34" s="1"/>
  <c r="AZ50"/>
  <c r="BA50" s="1"/>
  <c r="BB50" s="1"/>
  <c r="BD50" s="1"/>
  <c r="AJ50"/>
  <c r="AK50" s="1"/>
  <c r="AL50" s="1"/>
  <c r="AN50" s="1"/>
  <c r="AJ30" i="10"/>
  <c r="AK30" s="1"/>
  <c r="AL30" s="1"/>
  <c r="AZ30"/>
  <c r="BA30" s="1"/>
  <c r="BB30" s="1"/>
  <c r="AJ50"/>
  <c r="AK50" s="1"/>
  <c r="AL50" s="1"/>
  <c r="AZ50"/>
  <c r="BA50" s="1"/>
  <c r="BB50" s="1"/>
  <c r="AJ19" i="13"/>
  <c r="AK19" s="1"/>
  <c r="AL19" s="1"/>
  <c r="AN19" s="1"/>
  <c r="AZ19"/>
  <c r="BA19" s="1"/>
  <c r="BB19" s="1"/>
  <c r="BD19" s="1"/>
  <c r="AN28" i="18"/>
  <c r="AM28"/>
  <c r="AJ38" i="19"/>
  <c r="AK38" s="1"/>
  <c r="AL38" s="1"/>
  <c r="AN38" s="1"/>
  <c r="AZ38"/>
  <c r="BA38" s="1"/>
  <c r="BB38" s="1"/>
  <c r="BD38" s="1"/>
  <c r="AJ5" i="18"/>
  <c r="AK5" s="1"/>
  <c r="AL5" s="1"/>
  <c r="AZ5"/>
  <c r="AJ25"/>
  <c r="AK25" s="1"/>
  <c r="AL25" s="1"/>
  <c r="AZ25"/>
  <c r="BA25" s="1"/>
  <c r="BB25" s="1"/>
  <c r="AJ35" i="19"/>
  <c r="AK35" s="1"/>
  <c r="AL35" s="1"/>
  <c r="AN35" s="1"/>
  <c r="AZ35"/>
  <c r="BA35" s="1"/>
  <c r="BB35" s="1"/>
  <c r="BD35" s="1"/>
  <c r="AM65"/>
  <c r="AN65"/>
  <c r="AJ5" i="3"/>
  <c r="AK5" s="1"/>
  <c r="AL5" s="1"/>
  <c r="AN5" s="1"/>
  <c r="AZ5"/>
  <c r="AZ71" i="6"/>
  <c r="AJ71"/>
  <c r="AK71" s="1"/>
  <c r="AL71" s="1"/>
  <c r="AN71" s="1"/>
  <c r="AZ83"/>
  <c r="BA83" s="1"/>
  <c r="BB83" s="1"/>
  <c r="BD83" s="1"/>
  <c r="AJ83"/>
  <c r="AK83" s="1"/>
  <c r="AL83" s="1"/>
  <c r="AN83" s="1"/>
  <c r="AZ103"/>
  <c r="BA103" s="1"/>
  <c r="BB103" s="1"/>
  <c r="BD103" s="1"/>
  <c r="AJ103"/>
  <c r="AK103" s="1"/>
  <c r="AL103" s="1"/>
  <c r="AN103" s="1"/>
  <c r="AJ309"/>
  <c r="AK309" s="1"/>
  <c r="AL309" s="1"/>
  <c r="AN309" s="1"/>
  <c r="AZ309"/>
  <c r="BA309" s="1"/>
  <c r="BB309" s="1"/>
  <c r="BD309" s="1"/>
  <c r="AZ5" i="7"/>
  <c r="BA5" s="1"/>
  <c r="BB5" s="1"/>
  <c r="AJ5"/>
  <c r="AK5" s="1"/>
  <c r="AL5" s="1"/>
  <c r="AZ25"/>
  <c r="BA25" s="1"/>
  <c r="BB25" s="1"/>
  <c r="BD25" s="1"/>
  <c r="AJ25"/>
  <c r="AK25" s="1"/>
  <c r="AL25" s="1"/>
  <c r="AN25" s="1"/>
  <c r="AZ37"/>
  <c r="BA37" s="1"/>
  <c r="BB37" s="1"/>
  <c r="BD37" s="1"/>
  <c r="AJ37"/>
  <c r="AK37" s="1"/>
  <c r="AL37" s="1"/>
  <c r="AN37" s="1"/>
  <c r="AJ8" i="10"/>
  <c r="AK8" s="1"/>
  <c r="AL8" s="1"/>
  <c r="AZ8"/>
  <c r="BA8" s="1"/>
  <c r="BB8" s="1"/>
  <c r="AJ45"/>
  <c r="AK45" s="1"/>
  <c r="AL45" s="1"/>
  <c r="AZ45"/>
  <c r="BA45" s="1"/>
  <c r="BB45" s="1"/>
  <c r="AJ36" i="19"/>
  <c r="AK36" s="1"/>
  <c r="AL36" s="1"/>
  <c r="AN36" s="1"/>
  <c r="AZ36"/>
  <c r="BA36" s="1"/>
  <c r="BB36" s="1"/>
  <c r="BD36" s="1"/>
  <c r="AZ51" i="18"/>
  <c r="BA51" s="1"/>
  <c r="BB51" s="1"/>
  <c r="BD51" s="1"/>
  <c r="AJ51"/>
  <c r="AK51" s="1"/>
  <c r="AL51" s="1"/>
  <c r="AN51" s="1"/>
  <c r="AZ39"/>
  <c r="BA39" s="1"/>
  <c r="BB39" s="1"/>
  <c r="BD39" s="1"/>
  <c r="AJ39"/>
  <c r="AK39" s="1"/>
  <c r="AL39" s="1"/>
  <c r="AN39" s="1"/>
  <c r="AZ40"/>
  <c r="BA40" s="1"/>
  <c r="BB40" s="1"/>
  <c r="BD40" s="1"/>
  <c r="AJ40"/>
  <c r="AK40" s="1"/>
  <c r="AL40" s="1"/>
  <c r="AN40" s="1"/>
  <c r="AZ72" i="6"/>
  <c r="BA72" s="1"/>
  <c r="BB72" s="1"/>
  <c r="BD72" s="1"/>
  <c r="AJ72"/>
  <c r="AK72" s="1"/>
  <c r="AL72" s="1"/>
  <c r="AN72" s="1"/>
  <c r="AZ84"/>
  <c r="BA84" s="1"/>
  <c r="BB84" s="1"/>
  <c r="BD84" s="1"/>
  <c r="AJ84"/>
  <c r="AK84" s="1"/>
  <c r="AL84" s="1"/>
  <c r="AN84" s="1"/>
  <c r="AZ104"/>
  <c r="BA104" s="1"/>
  <c r="BB104" s="1"/>
  <c r="BD104" s="1"/>
  <c r="AJ104"/>
  <c r="AK104" s="1"/>
  <c r="AL104" s="1"/>
  <c r="AN104" s="1"/>
  <c r="AJ319"/>
  <c r="AK319" s="1"/>
  <c r="AL319" s="1"/>
  <c r="AN319" s="1"/>
  <c r="AZ319"/>
  <c r="BA319" s="1"/>
  <c r="BB319" s="1"/>
  <c r="BD319" s="1"/>
  <c r="AJ274"/>
  <c r="AK274" s="1"/>
  <c r="AL274" s="1"/>
  <c r="AZ274"/>
  <c r="BA274" s="1"/>
  <c r="BB274" s="1"/>
  <c r="AJ293"/>
  <c r="AK293" s="1"/>
  <c r="AL293" s="1"/>
  <c r="AN293" s="1"/>
  <c r="AZ293"/>
  <c r="BA293" s="1"/>
  <c r="BB293" s="1"/>
  <c r="BD293" s="1"/>
  <c r="AJ306"/>
  <c r="AK306" s="1"/>
  <c r="AL306" s="1"/>
  <c r="AN306" s="1"/>
  <c r="AZ306"/>
  <c r="BA306" s="1"/>
  <c r="BB306" s="1"/>
  <c r="BD306" s="1"/>
  <c r="AZ24" i="7"/>
  <c r="BA24" s="1"/>
  <c r="BB24" s="1"/>
  <c r="BD24" s="1"/>
  <c r="AJ24"/>
  <c r="AK24" s="1"/>
  <c r="AL24" s="1"/>
  <c r="AN24" s="1"/>
  <c r="AZ36"/>
  <c r="BA36" s="1"/>
  <c r="BB36" s="1"/>
  <c r="BD36" s="1"/>
  <c r="AJ36"/>
  <c r="AK36" s="1"/>
  <c r="AL36" s="1"/>
  <c r="AN36" s="1"/>
  <c r="AJ9" i="10"/>
  <c r="AK9" s="1"/>
  <c r="AL9" s="1"/>
  <c r="AZ9"/>
  <c r="BA9" s="1"/>
  <c r="BB9" s="1"/>
  <c r="AJ42"/>
  <c r="AK42" s="1"/>
  <c r="AL42" s="1"/>
  <c r="AZ42"/>
  <c r="BA42" s="1"/>
  <c r="BB42" s="1"/>
  <c r="AJ11" i="13"/>
  <c r="AK11" s="1"/>
  <c r="AL11" s="1"/>
  <c r="AN11" s="1"/>
  <c r="AZ11"/>
  <c r="BA11" s="1"/>
  <c r="BB11" s="1"/>
  <c r="BD11" s="1"/>
  <c r="AJ19" i="18"/>
  <c r="AK19" s="1"/>
  <c r="AL19" s="1"/>
  <c r="AN19" s="1"/>
  <c r="AZ19"/>
  <c r="BA19" s="1"/>
  <c r="BB19" s="1"/>
  <c r="BD19" s="1"/>
  <c r="AJ19" i="19"/>
  <c r="AK19" s="1"/>
  <c r="AL19" s="1"/>
  <c r="AN19" s="1"/>
  <c r="AZ19"/>
  <c r="BA19" s="1"/>
  <c r="BB19" s="1"/>
  <c r="BD19" s="1"/>
  <c r="AZ81" i="6"/>
  <c r="BA81" s="1"/>
  <c r="BB81" s="1"/>
  <c r="BD81" s="1"/>
  <c r="AJ81"/>
  <c r="AK81" s="1"/>
  <c r="AL81" s="1"/>
  <c r="AN81" s="1"/>
  <c r="AZ97"/>
  <c r="BA97" s="1"/>
  <c r="BB97" s="1"/>
  <c r="BD97" s="1"/>
  <c r="AJ97"/>
  <c r="AK97" s="1"/>
  <c r="AL97" s="1"/>
  <c r="AN97" s="1"/>
  <c r="AJ294"/>
  <c r="AK294" s="1"/>
  <c r="AL294" s="1"/>
  <c r="AN294" s="1"/>
  <c r="AZ294"/>
  <c r="BA294" s="1"/>
  <c r="BB294" s="1"/>
  <c r="BD294" s="1"/>
  <c r="AJ298"/>
  <c r="AK298" s="1"/>
  <c r="AL298" s="1"/>
  <c r="AN298" s="1"/>
  <c r="AZ298"/>
  <c r="BA298" s="1"/>
  <c r="BB298" s="1"/>
  <c r="BD298" s="1"/>
  <c r="AZ4" i="7"/>
  <c r="BA4" s="1"/>
  <c r="BB4" s="1"/>
  <c r="BD4" s="1"/>
  <c r="AJ4"/>
  <c r="AK4" s="1"/>
  <c r="AL4" s="1"/>
  <c r="AN4" s="1"/>
  <c r="AZ15"/>
  <c r="BA15" s="1"/>
  <c r="BB15" s="1"/>
  <c r="BD15" s="1"/>
  <c r="AJ15"/>
  <c r="AK15" s="1"/>
  <c r="AL15" s="1"/>
  <c r="AN15" s="1"/>
  <c r="AZ35"/>
  <c r="BA35" s="1"/>
  <c r="BB35" s="1"/>
  <c r="AJ35"/>
  <c r="AK35" s="1"/>
  <c r="AL35" s="1"/>
  <c r="AZ51"/>
  <c r="BA51" s="1"/>
  <c r="BB51" s="1"/>
  <c r="BD51" s="1"/>
  <c r="AJ51"/>
  <c r="AK51" s="1"/>
  <c r="AL51" s="1"/>
  <c r="AN51" s="1"/>
  <c r="AJ16" i="10"/>
  <c r="AK16" s="1"/>
  <c r="AL16" s="1"/>
  <c r="AZ16"/>
  <c r="BA16" s="1"/>
  <c r="BB16" s="1"/>
  <c r="AZ33" i="18"/>
  <c r="BA33" s="1"/>
  <c r="BB33" s="1"/>
  <c r="BD33" s="1"/>
  <c r="AJ33"/>
  <c r="AK33" s="1"/>
  <c r="AL33" s="1"/>
  <c r="AN33" s="1"/>
  <c r="AZ53"/>
  <c r="BA53" s="1"/>
  <c r="BB53" s="1"/>
  <c r="BD53" s="1"/>
  <c r="AJ53"/>
  <c r="AK53" s="1"/>
  <c r="AL53" s="1"/>
  <c r="AN53" s="1"/>
  <c r="W8" i="1"/>
  <c r="AZ78" i="6"/>
  <c r="BA78" s="1"/>
  <c r="BB78" s="1"/>
  <c r="BD78" s="1"/>
  <c r="AJ78"/>
  <c r="AK78" s="1"/>
  <c r="AL78" s="1"/>
  <c r="AN78" s="1"/>
  <c r="AZ98"/>
  <c r="BA98" s="1"/>
  <c r="BB98" s="1"/>
  <c r="BD98" s="1"/>
  <c r="AJ98"/>
  <c r="AK98" s="1"/>
  <c r="AL98" s="1"/>
  <c r="AN98" s="1"/>
  <c r="AJ268"/>
  <c r="AK268" s="1"/>
  <c r="AL268" s="1"/>
  <c r="AN268" s="1"/>
  <c r="AZ268"/>
  <c r="BA268" s="1"/>
  <c r="BB268" s="1"/>
  <c r="BD268" s="1"/>
  <c r="AJ60" i="10"/>
  <c r="AK60" s="1"/>
  <c r="AL60" s="1"/>
  <c r="AN60" s="1"/>
  <c r="AZ60"/>
  <c r="BA60" s="1"/>
  <c r="BB60" s="1"/>
  <c r="BD60" s="1"/>
  <c r="AJ273" i="6"/>
  <c r="AK273" s="1"/>
  <c r="AL273" s="1"/>
  <c r="AN273" s="1"/>
  <c r="AZ273"/>
  <c r="BA273" s="1"/>
  <c r="BB273" s="1"/>
  <c r="BD273" s="1"/>
  <c r="AJ291"/>
  <c r="AK291" s="1"/>
  <c r="AL291" s="1"/>
  <c r="AN291" s="1"/>
  <c r="AZ291"/>
  <c r="BA291" s="1"/>
  <c r="BB291" s="1"/>
  <c r="BD291" s="1"/>
  <c r="AZ10" i="7"/>
  <c r="BA10" s="1"/>
  <c r="BB10" s="1"/>
  <c r="BD10" s="1"/>
  <c r="AJ10"/>
  <c r="AK10" s="1"/>
  <c r="AL10" s="1"/>
  <c r="AN10" s="1"/>
  <c r="AZ30"/>
  <c r="BA30" s="1"/>
  <c r="BB30" s="1"/>
  <c r="BD30" s="1"/>
  <c r="AJ30"/>
  <c r="AK30" s="1"/>
  <c r="AL30" s="1"/>
  <c r="AN30" s="1"/>
  <c r="AZ42"/>
  <c r="BA42" s="1"/>
  <c r="BB42" s="1"/>
  <c r="AJ42"/>
  <c r="AK42" s="1"/>
  <c r="AL42" s="1"/>
  <c r="AJ11" i="10"/>
  <c r="AK11" s="1"/>
  <c r="AL11" s="1"/>
  <c r="AZ11"/>
  <c r="BA11" s="1"/>
  <c r="BB11" s="1"/>
  <c r="AJ44"/>
  <c r="AK44" s="1"/>
  <c r="AL44" s="1"/>
  <c r="AZ44"/>
  <c r="BA44" s="1"/>
  <c r="BB44" s="1"/>
  <c r="AM7" i="11"/>
  <c r="AN7"/>
  <c r="AJ13" i="18"/>
  <c r="AK13" s="1"/>
  <c r="AL13" s="1"/>
  <c r="AN13" s="1"/>
  <c r="AZ13"/>
  <c r="BA13" s="1"/>
  <c r="BB13" s="1"/>
  <c r="BD13" s="1"/>
  <c r="AJ21"/>
  <c r="AK21" s="1"/>
  <c r="AL21" s="1"/>
  <c r="AN21" s="1"/>
  <c r="AZ21"/>
  <c r="BA21" s="1"/>
  <c r="BB21" s="1"/>
  <c r="BD21" s="1"/>
  <c r="AJ9" i="19"/>
  <c r="AK9" s="1"/>
  <c r="AL9" s="1"/>
  <c r="AN9" s="1"/>
  <c r="AZ9"/>
  <c r="AJ32"/>
  <c r="AK32" s="1"/>
  <c r="AL32" s="1"/>
  <c r="AN32" s="1"/>
  <c r="AZ32"/>
  <c r="BA32" s="1"/>
  <c r="BB32" s="1"/>
  <c r="BD32" s="1"/>
  <c r="AJ45"/>
  <c r="AK45" s="1"/>
  <c r="AL45" s="1"/>
  <c r="AN45" s="1"/>
  <c r="AZ45"/>
  <c r="BA45" s="1"/>
  <c r="BB45" s="1"/>
  <c r="BD45" s="1"/>
  <c r="BD18" i="11"/>
  <c r="BC18"/>
  <c r="BC26"/>
  <c r="BD26" s="1"/>
  <c r="BD42"/>
  <c r="BC42"/>
  <c r="BC30" i="14"/>
  <c r="BD30" s="1"/>
  <c r="AM47" i="19"/>
  <c r="AN47" s="1"/>
  <c r="AM55"/>
  <c r="AN55"/>
  <c r="AM79"/>
  <c r="AN79" s="1"/>
  <c r="AZ79" i="6"/>
  <c r="BA79" s="1"/>
  <c r="BB79" s="1"/>
  <c r="BD79" s="1"/>
  <c r="AJ79"/>
  <c r="AK79" s="1"/>
  <c r="AL79" s="1"/>
  <c r="AN79" s="1"/>
  <c r="AZ91"/>
  <c r="BA91" s="1"/>
  <c r="BB91" s="1"/>
  <c r="BD91" s="1"/>
  <c r="AJ91"/>
  <c r="AK91" s="1"/>
  <c r="AL91" s="1"/>
  <c r="AN91" s="1"/>
  <c r="AJ295"/>
  <c r="AK295" s="1"/>
  <c r="AL295" s="1"/>
  <c r="AN295" s="1"/>
  <c r="AZ295"/>
  <c r="BA295" s="1"/>
  <c r="BB295" s="1"/>
  <c r="BD295" s="1"/>
  <c r="AZ13" i="7"/>
  <c r="BA13" s="1"/>
  <c r="BB13" s="1"/>
  <c r="BD13" s="1"/>
  <c r="AJ13"/>
  <c r="AK13" s="1"/>
  <c r="AL13" s="1"/>
  <c r="AN13" s="1"/>
  <c r="AZ33"/>
  <c r="BA33" s="1"/>
  <c r="BB33" s="1"/>
  <c r="BD33" s="1"/>
  <c r="AJ33"/>
  <c r="AK33" s="1"/>
  <c r="AL33" s="1"/>
  <c r="AN33" s="1"/>
  <c r="AZ53"/>
  <c r="BA53" s="1"/>
  <c r="BB53" s="1"/>
  <c r="BD53" s="1"/>
  <c r="AJ53"/>
  <c r="AK53" s="1"/>
  <c r="AL53" s="1"/>
  <c r="AN53" s="1"/>
  <c r="AJ53" i="10"/>
  <c r="AK53" s="1"/>
  <c r="AL53" s="1"/>
  <c r="AZ53"/>
  <c r="BA53" s="1"/>
  <c r="BB53" s="1"/>
  <c r="AJ5"/>
  <c r="AK5" s="1"/>
  <c r="AL5" s="1"/>
  <c r="AZ5"/>
  <c r="AJ34"/>
  <c r="AK34" s="1"/>
  <c r="AL34" s="1"/>
  <c r="AZ34"/>
  <c r="BA34" s="1"/>
  <c r="BB34" s="1"/>
  <c r="AJ27" i="19"/>
  <c r="AK27" s="1"/>
  <c r="AL27" s="1"/>
  <c r="AN27" s="1"/>
  <c r="AZ27"/>
  <c r="BA27" s="1"/>
  <c r="BB27" s="1"/>
  <c r="BD27" s="1"/>
  <c r="AZ50" i="18"/>
  <c r="BA50" s="1"/>
  <c r="BB50" s="1"/>
  <c r="AJ50"/>
  <c r="AK50" s="1"/>
  <c r="AL50" s="1"/>
  <c r="AJ10"/>
  <c r="AK10" s="1"/>
  <c r="AL10" s="1"/>
  <c r="AN10" s="1"/>
  <c r="AZ10"/>
  <c r="AJ18"/>
  <c r="AK18" s="1"/>
  <c r="AL18" s="1"/>
  <c r="AZ18"/>
  <c r="BA18" s="1"/>
  <c r="BB18" s="1"/>
  <c r="AJ26"/>
  <c r="AK26" s="1"/>
  <c r="AL26" s="1"/>
  <c r="AZ26"/>
  <c r="BA26" s="1"/>
  <c r="BB26" s="1"/>
  <c r="AJ30"/>
  <c r="AK30" s="1"/>
  <c r="AL30" s="1"/>
  <c r="AN30" s="1"/>
  <c r="AZ30"/>
  <c r="BA30" s="1"/>
  <c r="BB30" s="1"/>
  <c r="BD30" s="1"/>
  <c r="AZ43"/>
  <c r="BA43" s="1"/>
  <c r="BB43" s="1"/>
  <c r="BD43" s="1"/>
  <c r="AJ43"/>
  <c r="AK43" s="1"/>
  <c r="AL43" s="1"/>
  <c r="AN43" s="1"/>
  <c r="AJ21" i="19"/>
  <c r="AK21" s="1"/>
  <c r="AL21" s="1"/>
  <c r="AN21" s="1"/>
  <c r="AZ21"/>
  <c r="BA21" s="1"/>
  <c r="BB21" s="1"/>
  <c r="BD21" s="1"/>
  <c r="AM63" i="6"/>
  <c r="AN63"/>
  <c r="AJ6" i="3"/>
  <c r="AK6" s="1"/>
  <c r="AL6" s="1"/>
  <c r="AN6" s="1"/>
  <c r="AZ6"/>
  <c r="AZ80" i="6"/>
  <c r="BA80" s="1"/>
  <c r="BB80" s="1"/>
  <c r="BD80" s="1"/>
  <c r="AJ80"/>
  <c r="AK80" s="1"/>
  <c r="AL80" s="1"/>
  <c r="AN80" s="1"/>
  <c r="AZ92"/>
  <c r="BA92" s="1"/>
  <c r="BB92" s="1"/>
  <c r="BD92" s="1"/>
  <c r="AJ92"/>
  <c r="AK92" s="1"/>
  <c r="AL92" s="1"/>
  <c r="AN92" s="1"/>
  <c r="AJ272"/>
  <c r="AK272" s="1"/>
  <c r="AL272" s="1"/>
  <c r="AN272" s="1"/>
  <c r="AZ272"/>
  <c r="BA272" s="1"/>
  <c r="BB272" s="1"/>
  <c r="BD272" s="1"/>
  <c r="AJ278"/>
  <c r="AK278" s="1"/>
  <c r="AL278" s="1"/>
  <c r="AN278" s="1"/>
  <c r="AZ278"/>
  <c r="BA278" s="1"/>
  <c r="BB278" s="1"/>
  <c r="BD278" s="1"/>
  <c r="AJ286"/>
  <c r="AK286" s="1"/>
  <c r="AL286" s="1"/>
  <c r="AN286" s="1"/>
  <c r="AZ286"/>
  <c r="BA286" s="1"/>
  <c r="BB286" s="1"/>
  <c r="BD286" s="1"/>
  <c r="AZ314"/>
  <c r="BA314" s="1"/>
  <c r="BB314" s="1"/>
  <c r="BD314" s="1"/>
  <c r="AJ314"/>
  <c r="AK314" s="1"/>
  <c r="AL314" s="1"/>
  <c r="AN314" s="1"/>
  <c r="AZ12" i="7"/>
  <c r="BA12" s="1"/>
  <c r="BB12" s="1"/>
  <c r="BD12" s="1"/>
  <c r="AJ12"/>
  <c r="AK12" s="1"/>
  <c r="AL12" s="1"/>
  <c r="AN12" s="1"/>
  <c r="AZ32"/>
  <c r="BA32" s="1"/>
  <c r="BB32" s="1"/>
  <c r="BD32" s="1"/>
  <c r="AJ32"/>
  <c r="AK32" s="1"/>
  <c r="AL32" s="1"/>
  <c r="AN32" s="1"/>
  <c r="AZ52"/>
  <c r="BA52" s="1"/>
  <c r="BB52" s="1"/>
  <c r="AJ52"/>
  <c r="AK52" s="1"/>
  <c r="AL52" s="1"/>
  <c r="AJ6" i="10"/>
  <c r="AK6" s="1"/>
  <c r="AL6" s="1"/>
  <c r="AZ6"/>
  <c r="AJ18"/>
  <c r="AK18" s="1"/>
  <c r="AL18" s="1"/>
  <c r="AZ18"/>
  <c r="BA18" s="1"/>
  <c r="BB18" s="1"/>
  <c r="AJ20" i="19"/>
  <c r="AK20" s="1"/>
  <c r="AL20" s="1"/>
  <c r="AZ20"/>
  <c r="AJ10"/>
  <c r="AK10" s="1"/>
  <c r="AL10" s="1"/>
  <c r="AN10" s="1"/>
  <c r="AZ10"/>
  <c r="AJ44"/>
  <c r="AK44" s="1"/>
  <c r="AL44" s="1"/>
  <c r="AN44" s="1"/>
  <c r="AZ44"/>
  <c r="BA44" s="1"/>
  <c r="BB44" s="1"/>
  <c r="BD44" s="1"/>
  <c r="AZ42" i="18"/>
  <c r="BA42" s="1"/>
  <c r="BB42" s="1"/>
  <c r="BD42" s="1"/>
  <c r="AJ42"/>
  <c r="AK42" s="1"/>
  <c r="AL42" s="1"/>
  <c r="AN42" s="1"/>
  <c r="AZ69" i="6"/>
  <c r="BA69" s="1"/>
  <c r="BB69" s="1"/>
  <c r="BD69" s="1"/>
  <c r="AJ69"/>
  <c r="AK69" s="1"/>
  <c r="AL69" s="1"/>
  <c r="AN69" s="1"/>
  <c r="AZ105"/>
  <c r="BA105" s="1"/>
  <c r="BB105" s="1"/>
  <c r="BD105" s="1"/>
  <c r="AJ105"/>
  <c r="AK105" s="1"/>
  <c r="AL105" s="1"/>
  <c r="AN105" s="1"/>
  <c r="AJ303"/>
  <c r="AK303" s="1"/>
  <c r="AL303" s="1"/>
  <c r="AN303" s="1"/>
  <c r="AZ303"/>
  <c r="BA303" s="1"/>
  <c r="BB303" s="1"/>
  <c r="BD303" s="1"/>
  <c r="AJ311"/>
  <c r="AK311" s="1"/>
  <c r="AL311" s="1"/>
  <c r="AN311" s="1"/>
  <c r="AZ311"/>
  <c r="BA311" s="1"/>
  <c r="BB311" s="1"/>
  <c r="BD311" s="1"/>
  <c r="AZ11" i="7"/>
  <c r="BA11" s="1"/>
  <c r="BB11" s="1"/>
  <c r="BD11" s="1"/>
  <c r="AJ11"/>
  <c r="AK11" s="1"/>
  <c r="AL11" s="1"/>
  <c r="AN11" s="1"/>
  <c r="AZ23"/>
  <c r="BA23" s="1"/>
  <c r="BB23" s="1"/>
  <c r="BD23" s="1"/>
  <c r="AJ23"/>
  <c r="AK23" s="1"/>
  <c r="AL23" s="1"/>
  <c r="AN23" s="1"/>
  <c r="AJ32" i="10"/>
  <c r="AK32" s="1"/>
  <c r="AL32" s="1"/>
  <c r="AN32" s="1"/>
  <c r="AZ32"/>
  <c r="BA32" s="1"/>
  <c r="BB32" s="1"/>
  <c r="BD32" s="1"/>
  <c r="AJ56"/>
  <c r="AK56" s="1"/>
  <c r="AL56" s="1"/>
  <c r="AZ56"/>
  <c r="BA56" s="1"/>
  <c r="BB56" s="1"/>
  <c r="AZ31" i="18"/>
  <c r="BA31" s="1"/>
  <c r="BB31" s="1"/>
  <c r="BD31" s="1"/>
  <c r="AJ31"/>
  <c r="AK31" s="1"/>
  <c r="AL31" s="1"/>
  <c r="AN31" s="1"/>
  <c r="AJ8"/>
  <c r="AK8" s="1"/>
  <c r="AL8" s="1"/>
  <c r="AN8" s="1"/>
  <c r="AZ8"/>
  <c r="AJ34" i="19"/>
  <c r="AK34" s="1"/>
  <c r="AL34" s="1"/>
  <c r="AN34" s="1"/>
  <c r="AZ34"/>
  <c r="BA34" s="1"/>
  <c r="BB34" s="1"/>
  <c r="BD34" s="1"/>
  <c r="AZ74" i="6"/>
  <c r="BA74" s="1"/>
  <c r="BB74" s="1"/>
  <c r="AJ74"/>
  <c r="AK74" s="1"/>
  <c r="AL74" s="1"/>
  <c r="AZ86"/>
  <c r="AJ86"/>
  <c r="AK86" s="1"/>
  <c r="AL86" s="1"/>
  <c r="AN86" s="1"/>
  <c r="AJ320"/>
  <c r="AK320" s="1"/>
  <c r="AL320" s="1"/>
  <c r="AN320" s="1"/>
  <c r="AZ320"/>
  <c r="BA320" s="1"/>
  <c r="BB320" s="1"/>
  <c r="BD320" s="1"/>
  <c r="AJ283"/>
  <c r="AK283" s="1"/>
  <c r="AL283" s="1"/>
  <c r="AN283" s="1"/>
  <c r="AZ283"/>
  <c r="BA283" s="1"/>
  <c r="BB283" s="1"/>
  <c r="BD283" s="1"/>
  <c r="AJ289"/>
  <c r="AK289" s="1"/>
  <c r="AL289" s="1"/>
  <c r="AN289" s="1"/>
  <c r="AZ289"/>
  <c r="BA289" s="1"/>
  <c r="BB289" s="1"/>
  <c r="BD289" s="1"/>
  <c r="AZ6" i="7"/>
  <c r="BA6" s="1"/>
  <c r="BB6" s="1"/>
  <c r="BD6" s="1"/>
  <c r="AJ6"/>
  <c r="AK6" s="1"/>
  <c r="AL6" s="1"/>
  <c r="AN6" s="1"/>
  <c r="AZ18"/>
  <c r="BA18" s="1"/>
  <c r="BB18" s="1"/>
  <c r="BD18" s="1"/>
  <c r="AJ18"/>
  <c r="AK18" s="1"/>
  <c r="AL18" s="1"/>
  <c r="AN18" s="1"/>
  <c r="AZ38"/>
  <c r="BA38" s="1"/>
  <c r="BB38" s="1"/>
  <c r="AJ38"/>
  <c r="AK38" s="1"/>
  <c r="AL38" s="1"/>
  <c r="AJ33" i="10"/>
  <c r="AK33" s="1"/>
  <c r="AL33" s="1"/>
  <c r="AZ33"/>
  <c r="BA33" s="1"/>
  <c r="BB33" s="1"/>
  <c r="BC7" i="11"/>
  <c r="BD7" s="1"/>
  <c r="AJ16" i="13"/>
  <c r="AK16" s="1"/>
  <c r="AL16" s="1"/>
  <c r="AN16" s="1"/>
  <c r="AZ16"/>
  <c r="BA16" s="1"/>
  <c r="BB16" s="1"/>
  <c r="BD16" s="1"/>
  <c r="W17" i="1" s="1"/>
  <c r="W18"/>
  <c r="AJ37" i="19"/>
  <c r="AK37" s="1"/>
  <c r="AL37" s="1"/>
  <c r="AN37" s="1"/>
  <c r="AZ37"/>
  <c r="BA37" s="1"/>
  <c r="BB37" s="1"/>
  <c r="BD37" s="1"/>
  <c r="AZ87" i="6"/>
  <c r="BA87" s="1"/>
  <c r="BB87" s="1"/>
  <c r="BD87" s="1"/>
  <c r="AJ87"/>
  <c r="AK87" s="1"/>
  <c r="AL87" s="1"/>
  <c r="AN87" s="1"/>
  <c r="AZ99"/>
  <c r="BA99" s="1"/>
  <c r="BB99" s="1"/>
  <c r="BD99" s="1"/>
  <c r="AJ99"/>
  <c r="AK99" s="1"/>
  <c r="AL99" s="1"/>
  <c r="AN99" s="1"/>
  <c r="AJ292"/>
  <c r="AK292" s="1"/>
  <c r="AL292" s="1"/>
  <c r="AN292" s="1"/>
  <c r="AZ292"/>
  <c r="BA292" s="1"/>
  <c r="BB292" s="1"/>
  <c r="BD292" s="1"/>
  <c r="AJ305"/>
  <c r="AK305" s="1"/>
  <c r="AL305" s="1"/>
  <c r="AN305" s="1"/>
  <c r="AZ305"/>
  <c r="BA305" s="1"/>
  <c r="BB305" s="1"/>
  <c r="BD305" s="1"/>
  <c r="AZ9" i="7"/>
  <c r="BA9" s="1"/>
  <c r="BB9" s="1"/>
  <c r="BD9" s="1"/>
  <c r="AJ9"/>
  <c r="AK9" s="1"/>
  <c r="AL9" s="1"/>
  <c r="AN9" s="1"/>
  <c r="AZ21"/>
  <c r="BA21" s="1"/>
  <c r="BB21" s="1"/>
  <c r="BD21" s="1"/>
  <c r="AJ21"/>
  <c r="AK21" s="1"/>
  <c r="AL21" s="1"/>
  <c r="AN21" s="1"/>
  <c r="AZ41"/>
  <c r="BA41" s="1"/>
  <c r="BB41" s="1"/>
  <c r="BD41" s="1"/>
  <c r="AJ41"/>
  <c r="AK41" s="1"/>
  <c r="AL41" s="1"/>
  <c r="AN41" s="1"/>
  <c r="AZ49"/>
  <c r="BA49" s="1"/>
  <c r="BB49" s="1"/>
  <c r="BD49" s="1"/>
  <c r="AJ49"/>
  <c r="AK49" s="1"/>
  <c r="AL49" s="1"/>
  <c r="AN49" s="1"/>
  <c r="AJ51" i="10"/>
  <c r="AK51" s="1"/>
  <c r="AL51" s="1"/>
  <c r="AN51" s="1"/>
  <c r="AZ51"/>
  <c r="BA51" s="1"/>
  <c r="BB51" s="1"/>
  <c r="BD51" s="1"/>
  <c r="AJ12"/>
  <c r="AK12" s="1"/>
  <c r="AL12" s="1"/>
  <c r="AZ12"/>
  <c r="BA12" s="1"/>
  <c r="BB12" s="1"/>
  <c r="AJ4" i="14"/>
  <c r="AK4" s="1"/>
  <c r="AL4" s="1"/>
  <c r="AN4" s="1"/>
  <c r="AZ4"/>
  <c r="AZ41" i="18"/>
  <c r="BA41" s="1"/>
  <c r="BB41" s="1"/>
  <c r="BD41" s="1"/>
  <c r="AJ41"/>
  <c r="AK41" s="1"/>
  <c r="AL41" s="1"/>
  <c r="AN41" s="1"/>
  <c r="AM41" i="2"/>
  <c r="AN41" s="1"/>
  <c r="AZ88" i="6"/>
  <c r="AJ88"/>
  <c r="AK88" s="1"/>
  <c r="AL88" s="1"/>
  <c r="AN88" s="1"/>
  <c r="AZ100"/>
  <c r="BA100" s="1"/>
  <c r="BB100" s="1"/>
  <c r="BD100" s="1"/>
  <c r="AJ100"/>
  <c r="AK100" s="1"/>
  <c r="AL100" s="1"/>
  <c r="AN100" s="1"/>
  <c r="AJ276"/>
  <c r="AK276" s="1"/>
  <c r="AL276" s="1"/>
  <c r="AN276" s="1"/>
  <c r="AZ276"/>
  <c r="BA276" s="1"/>
  <c r="BB276" s="1"/>
  <c r="BD276" s="1"/>
  <c r="AJ284"/>
  <c r="AK284" s="1"/>
  <c r="AL284" s="1"/>
  <c r="AN284" s="1"/>
  <c r="AZ284"/>
  <c r="BA284" s="1"/>
  <c r="BB284" s="1"/>
  <c r="BD284" s="1"/>
  <c r="AJ290"/>
  <c r="AK290" s="1"/>
  <c r="AL290" s="1"/>
  <c r="AN290" s="1"/>
  <c r="AZ290"/>
  <c r="BA290" s="1"/>
  <c r="BB290" s="1"/>
  <c r="BD290" s="1"/>
  <c r="AZ20" i="7"/>
  <c r="BA20" s="1"/>
  <c r="BB20" s="1"/>
  <c r="BD20" s="1"/>
  <c r="AJ20"/>
  <c r="AK20" s="1"/>
  <c r="AL20" s="1"/>
  <c r="AN20" s="1"/>
  <c r="AZ40"/>
  <c r="BA40" s="1"/>
  <c r="BB40" s="1"/>
  <c r="BD40" s="1"/>
  <c r="AJ40"/>
  <c r="AK40" s="1"/>
  <c r="AL40" s="1"/>
  <c r="AN40" s="1"/>
  <c r="AZ48"/>
  <c r="BA48" s="1"/>
  <c r="BB48" s="1"/>
  <c r="BD48" s="1"/>
  <c r="AJ48"/>
  <c r="AK48" s="1"/>
  <c r="AL48" s="1"/>
  <c r="AN48" s="1"/>
  <c r="AJ13" i="10"/>
  <c r="AK13" s="1"/>
  <c r="AL13" s="1"/>
  <c r="AN13" s="1"/>
  <c r="AZ13"/>
  <c r="BA13" s="1"/>
  <c r="BB13" s="1"/>
  <c r="BD13" s="1"/>
  <c r="AJ46"/>
  <c r="AK46" s="1"/>
  <c r="AL46" s="1"/>
  <c r="AN46" s="1"/>
  <c r="AZ46"/>
  <c r="BA46" s="1"/>
  <c r="BB46" s="1"/>
  <c r="BD46" s="1"/>
  <c r="AJ15" i="18"/>
  <c r="AK15" s="1"/>
  <c r="AL15" s="1"/>
  <c r="AZ15"/>
  <c r="AJ78" i="19"/>
  <c r="AK78" s="1"/>
  <c r="AL78" s="1"/>
  <c r="AN78" s="1"/>
  <c r="AZ78"/>
  <c r="BA78" s="1"/>
  <c r="BB78" s="1"/>
  <c r="BD78" s="1"/>
  <c r="AM56"/>
  <c r="AN56"/>
  <c r="AJ7" i="3"/>
  <c r="AK7" s="1"/>
  <c r="AL7" s="1"/>
  <c r="AN7" s="1"/>
  <c r="AZ7"/>
  <c r="AZ77" i="6"/>
  <c r="BA77" s="1"/>
  <c r="BB77" s="1"/>
  <c r="BD77" s="1"/>
  <c r="AJ77"/>
  <c r="AK77" s="1"/>
  <c r="AL77" s="1"/>
  <c r="AN77" s="1"/>
  <c r="AZ93"/>
  <c r="BA93" s="1"/>
  <c r="BB93" s="1"/>
  <c r="BD93" s="1"/>
  <c r="AJ93"/>
  <c r="AK93" s="1"/>
  <c r="AL93" s="1"/>
  <c r="AN93" s="1"/>
  <c r="AJ316"/>
  <c r="AK316" s="1"/>
  <c r="AL316" s="1"/>
  <c r="AN316" s="1"/>
  <c r="AZ316"/>
  <c r="BA316" s="1"/>
  <c r="BB316" s="1"/>
  <c r="BD316" s="1"/>
  <c r="AZ19" i="7"/>
  <c r="BA19" s="1"/>
  <c r="BB19" s="1"/>
  <c r="BD19" s="1"/>
  <c r="AJ19"/>
  <c r="AK19" s="1"/>
  <c r="AL19" s="1"/>
  <c r="AN19" s="1"/>
  <c r="AZ31"/>
  <c r="BA31" s="1"/>
  <c r="BB31" s="1"/>
  <c r="AJ31"/>
  <c r="AK31" s="1"/>
  <c r="AL31" s="1"/>
  <c r="AZ47"/>
  <c r="BA47" s="1"/>
  <c r="BB47" s="1"/>
  <c r="BD47" s="1"/>
  <c r="AJ47"/>
  <c r="AK47" s="1"/>
  <c r="AL47" s="1"/>
  <c r="AN47" s="1"/>
  <c r="AJ52" i="10"/>
  <c r="AK52" s="1"/>
  <c r="AL52" s="1"/>
  <c r="AN52" s="1"/>
  <c r="AZ52"/>
  <c r="BA52" s="1"/>
  <c r="BB52" s="1"/>
  <c r="BD52" s="1"/>
  <c r="AJ10"/>
  <c r="AK10" s="1"/>
  <c r="AL10" s="1"/>
  <c r="AZ10"/>
  <c r="AJ47"/>
  <c r="AK47" s="1"/>
  <c r="AL47" s="1"/>
  <c r="AZ47"/>
  <c r="BA47" s="1"/>
  <c r="BB47" s="1"/>
  <c r="AJ29" i="18"/>
  <c r="AK29" s="1"/>
  <c r="AL29" s="1"/>
  <c r="AN29" s="1"/>
  <c r="AZ29"/>
  <c r="BA29" s="1"/>
  <c r="BB29" s="1"/>
  <c r="BD29" s="1"/>
  <c r="AJ4"/>
  <c r="AK4" s="1"/>
  <c r="AL4" s="1"/>
  <c r="AZ4"/>
  <c r="AJ24"/>
  <c r="AK24" s="1"/>
  <c r="AL24" s="1"/>
  <c r="AN24" s="1"/>
  <c r="AZ24"/>
  <c r="BA24" s="1"/>
  <c r="BB24" s="1"/>
  <c r="BD24" s="1"/>
  <c r="AZ44"/>
  <c r="BA44" s="1"/>
  <c r="BB44" s="1"/>
  <c r="AJ44"/>
  <c r="AK44" s="1"/>
  <c r="AL44" s="1"/>
  <c r="BC33" i="11"/>
  <c r="BD33" s="1"/>
  <c r="AM25" i="14"/>
  <c r="AN25"/>
  <c r="AJ8" i="3"/>
  <c r="AK8" s="1"/>
  <c r="AL8" s="1"/>
  <c r="AN8" s="1"/>
  <c r="AZ8"/>
  <c r="AZ82" i="6"/>
  <c r="BA82" s="1"/>
  <c r="BB82" s="1"/>
  <c r="BD82" s="1"/>
  <c r="AJ82"/>
  <c r="AK82" s="1"/>
  <c r="AL82" s="1"/>
  <c r="AN82" s="1"/>
  <c r="AZ94"/>
  <c r="BA94" s="1"/>
  <c r="BB94" s="1"/>
  <c r="BD94" s="1"/>
  <c r="AJ94"/>
  <c r="AK94" s="1"/>
  <c r="AL94" s="1"/>
  <c r="AN94" s="1"/>
  <c r="AJ318"/>
  <c r="AK318" s="1"/>
  <c r="AL318" s="1"/>
  <c r="AN318" s="1"/>
  <c r="AZ318"/>
  <c r="BA318" s="1"/>
  <c r="BB318" s="1"/>
  <c r="BD318" s="1"/>
  <c r="AJ271"/>
  <c r="AK271" s="1"/>
  <c r="AL271" s="1"/>
  <c r="AN271" s="1"/>
  <c r="AZ271"/>
  <c r="BA271" s="1"/>
  <c r="BB271" s="1"/>
  <c r="BD271" s="1"/>
  <c r="AJ281"/>
  <c r="AK281" s="1"/>
  <c r="AL281" s="1"/>
  <c r="AN281" s="1"/>
  <c r="AZ281"/>
  <c r="BA281" s="1"/>
  <c r="BB281" s="1"/>
  <c r="BD281" s="1"/>
  <c r="AJ287"/>
  <c r="AK287" s="1"/>
  <c r="AL287" s="1"/>
  <c r="AN287" s="1"/>
  <c r="AZ287"/>
  <c r="BA287" s="1"/>
  <c r="BB287" s="1"/>
  <c r="BD287" s="1"/>
  <c r="AJ304"/>
  <c r="AK304" s="1"/>
  <c r="AL304" s="1"/>
  <c r="AN304" s="1"/>
  <c r="AZ304"/>
  <c r="BA304" s="1"/>
  <c r="BB304" s="1"/>
  <c r="BD304" s="1"/>
  <c r="AJ312"/>
  <c r="AK312" s="1"/>
  <c r="AL312" s="1"/>
  <c r="AN312" s="1"/>
  <c r="AZ312"/>
  <c r="BA312" s="1"/>
  <c r="BB312" s="1"/>
  <c r="BD312" s="1"/>
  <c r="AZ14" i="7"/>
  <c r="BA14" s="1"/>
  <c r="BB14" s="1"/>
  <c r="BD14" s="1"/>
  <c r="AJ14"/>
  <c r="AK14" s="1"/>
  <c r="AL14" s="1"/>
  <c r="AN14" s="1"/>
  <c r="AZ26"/>
  <c r="BA26" s="1"/>
  <c r="BB26" s="1"/>
  <c r="AJ26"/>
  <c r="AK26" s="1"/>
  <c r="AL26" s="1"/>
  <c r="AJ4" i="10"/>
  <c r="AK4" s="1"/>
  <c r="AL4" s="1"/>
  <c r="AZ4"/>
  <c r="BA4" s="1"/>
  <c r="BB4" s="1"/>
  <c r="AZ48"/>
  <c r="BA48" s="1"/>
  <c r="BB48" s="1"/>
  <c r="AJ48"/>
  <c r="AK48" s="1"/>
  <c r="AL48" s="1"/>
  <c r="AJ57"/>
  <c r="AK57" s="1"/>
  <c r="AL57" s="1"/>
  <c r="AZ57"/>
  <c r="BA57" s="1"/>
  <c r="BB57" s="1"/>
  <c r="AJ10" i="13"/>
  <c r="AK10" s="1"/>
  <c r="AL10" s="1"/>
  <c r="AN10" s="1"/>
  <c r="AZ10"/>
  <c r="BA10" s="1"/>
  <c r="BB10" s="1"/>
  <c r="BD10" s="1"/>
  <c r="AJ9" i="18"/>
  <c r="AK9" s="1"/>
  <c r="AL9" s="1"/>
  <c r="AN9" s="1"/>
  <c r="AZ9"/>
  <c r="AJ43" i="19"/>
  <c r="AK43" s="1"/>
  <c r="AL43" s="1"/>
  <c r="AN43" s="1"/>
  <c r="AZ43"/>
  <c r="BA43" s="1"/>
  <c r="BB43" s="1"/>
  <c r="BD43" s="1"/>
  <c r="AM38" i="18"/>
  <c r="AN38" s="1"/>
  <c r="AZ75" i="6"/>
  <c r="BA75" s="1"/>
  <c r="BB75" s="1"/>
  <c r="BD75" s="1"/>
  <c r="AJ75"/>
  <c r="AK75" s="1"/>
  <c r="AL75" s="1"/>
  <c r="AN75" s="1"/>
  <c r="AZ95"/>
  <c r="BA95" s="1"/>
  <c r="BB95" s="1"/>
  <c r="BD95" s="1"/>
  <c r="AJ95"/>
  <c r="AK95" s="1"/>
  <c r="AL95" s="1"/>
  <c r="AN95" s="1"/>
  <c r="AJ297"/>
  <c r="AK297" s="1"/>
  <c r="AL297" s="1"/>
  <c r="AN297" s="1"/>
  <c r="AZ297"/>
  <c r="BA297" s="1"/>
  <c r="BB297" s="1"/>
  <c r="BD297" s="1"/>
  <c r="AJ301"/>
  <c r="AK301" s="1"/>
  <c r="AL301" s="1"/>
  <c r="AN301" s="1"/>
  <c r="AZ301"/>
  <c r="BA301" s="1"/>
  <c r="BB301" s="1"/>
  <c r="BD301" s="1"/>
  <c r="AZ17" i="7"/>
  <c r="BA17" s="1"/>
  <c r="BB17" s="1"/>
  <c r="BD17" s="1"/>
  <c r="AJ17"/>
  <c r="AK17" s="1"/>
  <c r="AL17" s="1"/>
  <c r="AN17" s="1"/>
  <c r="AZ29"/>
  <c r="BA29" s="1"/>
  <c r="BB29" s="1"/>
  <c r="BD29" s="1"/>
  <c r="AJ29"/>
  <c r="AK29" s="1"/>
  <c r="AL29" s="1"/>
  <c r="AN29" s="1"/>
  <c r="AJ58" i="10"/>
  <c r="AK58" s="1"/>
  <c r="AL58" s="1"/>
  <c r="AZ58"/>
  <c r="BA58" s="1"/>
  <c r="BB58" s="1"/>
  <c r="AJ23" i="19"/>
  <c r="AK23" s="1"/>
  <c r="AL23" s="1"/>
  <c r="AN23" s="1"/>
  <c r="AZ23"/>
  <c r="BA23" s="1"/>
  <c r="BB23" s="1"/>
  <c r="BD23" s="1"/>
  <c r="AJ6" i="18"/>
  <c r="AK6" s="1"/>
  <c r="AL6" s="1"/>
  <c r="AN6" s="1"/>
  <c r="AZ6"/>
  <c r="AJ27"/>
  <c r="AK27" s="1"/>
  <c r="AL27" s="1"/>
  <c r="AZ27"/>
  <c r="BA27" s="1"/>
  <c r="BB27" s="1"/>
  <c r="AJ14" i="19"/>
  <c r="AK14" s="1"/>
  <c r="AL14" s="1"/>
  <c r="AN14" s="1"/>
  <c r="AZ14"/>
  <c r="BA14" s="1"/>
  <c r="BB14" s="1"/>
  <c r="BD14" s="1"/>
  <c r="AZ76" i="6"/>
  <c r="BA76" s="1"/>
  <c r="BB76" s="1"/>
  <c r="BD76" s="1"/>
  <c r="AJ76"/>
  <c r="AK76" s="1"/>
  <c r="AL76" s="1"/>
  <c r="AN76" s="1"/>
  <c r="AZ96"/>
  <c r="BA96" s="1"/>
  <c r="BB96" s="1"/>
  <c r="BD96" s="1"/>
  <c r="AJ96"/>
  <c r="AK96" s="1"/>
  <c r="AL96" s="1"/>
  <c r="AN96" s="1"/>
  <c r="AJ270"/>
  <c r="AK270" s="1"/>
  <c r="AL270" s="1"/>
  <c r="AN270" s="1"/>
  <c r="AZ270"/>
  <c r="BA270" s="1"/>
  <c r="BB270" s="1"/>
  <c r="BD270" s="1"/>
  <c r="AJ280"/>
  <c r="AK280" s="1"/>
  <c r="AL280" s="1"/>
  <c r="AN280" s="1"/>
  <c r="AZ280"/>
  <c r="BA280" s="1"/>
  <c r="BB280" s="1"/>
  <c r="BD280" s="1"/>
  <c r="AJ288"/>
  <c r="AK288" s="1"/>
  <c r="AL288" s="1"/>
  <c r="AN288" s="1"/>
  <c r="AZ288"/>
  <c r="BA288" s="1"/>
  <c r="BB288" s="1"/>
  <c r="BD288" s="1"/>
  <c r="AJ310"/>
  <c r="AK310" s="1"/>
  <c r="AL310" s="1"/>
  <c r="AZ310"/>
  <c r="BA310" s="1"/>
  <c r="BB310" s="1"/>
  <c r="AZ16" i="7"/>
  <c r="BA16" s="1"/>
  <c r="BB16" s="1"/>
  <c r="AJ16"/>
  <c r="AK16" s="1"/>
  <c r="AL16" s="1"/>
  <c r="AZ28"/>
  <c r="BA28" s="1"/>
  <c r="BB28" s="1"/>
  <c r="BD28" s="1"/>
  <c r="AJ28"/>
  <c r="AK28" s="1"/>
  <c r="AL28" s="1"/>
  <c r="AN28" s="1"/>
  <c r="AJ21" i="10"/>
  <c r="AK21" s="1"/>
  <c r="AL21" s="1"/>
  <c r="AZ21"/>
  <c r="BA21" s="1"/>
  <c r="BB21" s="1"/>
  <c r="AJ25" i="19"/>
  <c r="AK25" s="1"/>
  <c r="AL25" s="1"/>
  <c r="AN25" s="1"/>
  <c r="AZ25"/>
  <c r="BA25" s="1"/>
  <c r="BB25" s="1"/>
  <c r="BD25" s="1"/>
  <c r="AJ11" i="18"/>
  <c r="AK11" s="1"/>
  <c r="AL11" s="1"/>
  <c r="AN11" s="1"/>
  <c r="AZ11"/>
  <c r="BA11" s="1"/>
  <c r="BB11" s="1"/>
  <c r="BD11" s="1"/>
  <c r="AZ52"/>
  <c r="BA52" s="1"/>
  <c r="BB52" s="1"/>
  <c r="BD52" s="1"/>
  <c r="AJ52"/>
  <c r="AK52" s="1"/>
  <c r="AL52" s="1"/>
  <c r="AN52" s="1"/>
  <c r="AJ22" i="19"/>
  <c r="AK22" s="1"/>
  <c r="AL22" s="1"/>
  <c r="AN22" s="1"/>
  <c r="AZ22"/>
  <c r="BA22" s="1"/>
  <c r="BB22" s="1"/>
  <c r="BD22" s="1"/>
  <c r="AM247" i="6"/>
  <c r="AN247" s="1"/>
  <c r="AZ73"/>
  <c r="BA73" s="1"/>
  <c r="BB73" s="1"/>
  <c r="BD73" s="1"/>
  <c r="AJ73"/>
  <c r="AK73" s="1"/>
  <c r="AL73" s="1"/>
  <c r="AN73" s="1"/>
  <c r="AZ85"/>
  <c r="BA85" s="1"/>
  <c r="BB85" s="1"/>
  <c r="BD85" s="1"/>
  <c r="AJ85"/>
  <c r="AK85" s="1"/>
  <c r="AL85" s="1"/>
  <c r="AN85" s="1"/>
  <c r="AZ101"/>
  <c r="BA101" s="1"/>
  <c r="BB101" s="1"/>
  <c r="BD101" s="1"/>
  <c r="AJ101"/>
  <c r="AK101" s="1"/>
  <c r="AL101" s="1"/>
  <c r="AN101" s="1"/>
  <c r="AJ54" i="10"/>
  <c r="AK54" s="1"/>
  <c r="AL54" s="1"/>
  <c r="AZ54"/>
  <c r="BA54" s="1"/>
  <c r="BB54" s="1"/>
  <c r="AJ300" i="6"/>
  <c r="AK300" s="1"/>
  <c r="AL300" s="1"/>
  <c r="AN300" s="1"/>
  <c r="AZ300"/>
  <c r="BA300" s="1"/>
  <c r="BB300" s="1"/>
  <c r="BD300" s="1"/>
  <c r="AZ7" i="7"/>
  <c r="BA7" s="1"/>
  <c r="BB7" s="1"/>
  <c r="AJ7"/>
  <c r="AK7" s="1"/>
  <c r="AL7" s="1"/>
  <c r="AZ27"/>
  <c r="BA27" s="1"/>
  <c r="BB27" s="1"/>
  <c r="BD27" s="1"/>
  <c r="AJ27"/>
  <c r="AK27" s="1"/>
  <c r="AL27" s="1"/>
  <c r="AN27" s="1"/>
  <c r="AZ39"/>
  <c r="BA39" s="1"/>
  <c r="BB39" s="1"/>
  <c r="BD39" s="1"/>
  <c r="AJ39"/>
  <c r="AK39" s="1"/>
  <c r="AL39" s="1"/>
  <c r="AN39" s="1"/>
  <c r="AJ43" i="10"/>
  <c r="AK43" s="1"/>
  <c r="AL43" s="1"/>
  <c r="AN43" s="1"/>
  <c r="AZ43"/>
  <c r="BA43" s="1"/>
  <c r="BB43" s="1"/>
  <c r="BD43" s="1"/>
  <c r="AJ12" i="18"/>
  <c r="AK12" s="1"/>
  <c r="AL12" s="1"/>
  <c r="AZ12"/>
  <c r="BA12" s="1"/>
  <c r="BB12" s="1"/>
  <c r="AJ20"/>
  <c r="AK20" s="1"/>
  <c r="AL20" s="1"/>
  <c r="AN20" s="1"/>
  <c r="AZ20"/>
  <c r="BC59" i="2"/>
  <c r="BD59" s="1"/>
  <c r="AM27" i="10"/>
  <c r="AN27" s="1"/>
  <c r="BC16" i="14"/>
  <c r="BD16" s="1"/>
  <c r="AM7" i="10"/>
  <c r="AN7" s="1"/>
  <c r="BD6" i="14"/>
  <c r="BC6"/>
  <c r="AM6"/>
  <c r="AN6" s="1"/>
  <c r="V18" i="1"/>
  <c r="X18" s="1"/>
  <c r="BD32" i="18"/>
  <c r="BC32"/>
  <c r="BC27" i="10"/>
  <c r="BD27" s="1"/>
  <c r="AM11" i="11"/>
  <c r="AN11" s="1"/>
  <c r="AM27"/>
  <c r="AN27" s="1"/>
  <c r="BC26" i="14"/>
  <c r="BD26" s="1"/>
  <c r="BC19"/>
  <c r="BD19" s="1"/>
  <c r="AM26"/>
  <c r="AN26" s="1"/>
  <c r="AZ45" i="7"/>
  <c r="BA45" s="1"/>
  <c r="BB45" s="1"/>
  <c r="BD45" s="1"/>
  <c r="AJ45"/>
  <c r="AK45" s="1"/>
  <c r="AL45" s="1"/>
  <c r="AN45" s="1"/>
  <c r="BD116" i="6"/>
  <c r="BC116"/>
  <c r="AN49" i="10"/>
  <c r="AM49"/>
  <c r="AM16" i="14"/>
  <c r="AN16" s="1"/>
  <c r="BC60" i="2"/>
  <c r="BD60" s="1"/>
  <c r="AM207" i="6"/>
  <c r="AN207" s="1"/>
  <c r="AM14" i="10"/>
  <c r="AN14" s="1"/>
  <c r="AM36" i="11"/>
  <c r="AN36" s="1"/>
  <c r="AM44"/>
  <c r="AN44" s="1"/>
  <c r="BD167" i="6"/>
  <c r="BC167"/>
  <c r="V6" i="1"/>
  <c r="BC25" i="2"/>
  <c r="BD25"/>
  <c r="AM29"/>
  <c r="AN29" s="1"/>
  <c r="BC28" i="18"/>
  <c r="BD28"/>
  <c r="AJ275" i="6"/>
  <c r="AK275" s="1"/>
  <c r="AL275" s="1"/>
  <c r="AN275" s="1"/>
  <c r="AZ275"/>
  <c r="BA275" s="1"/>
  <c r="BB275" s="1"/>
  <c r="BD275" s="1"/>
  <c r="AZ46" i="7"/>
  <c r="BA46" s="1"/>
  <c r="BB46" s="1"/>
  <c r="BD46" s="1"/>
  <c r="AJ46"/>
  <c r="AK46" s="1"/>
  <c r="AL46" s="1"/>
  <c r="AN46" s="1"/>
  <c r="BC15" i="11"/>
  <c r="BD15" s="1"/>
  <c r="AM33"/>
  <c r="AN33"/>
  <c r="BC28" i="19"/>
  <c r="BD28"/>
  <c r="BC55"/>
  <c r="BD55"/>
  <c r="BC65"/>
  <c r="BD65"/>
  <c r="AJ41" i="10"/>
  <c r="AK41" s="1"/>
  <c r="AL41" s="1"/>
  <c r="AZ41"/>
  <c r="BA41" s="1"/>
  <c r="BB41" s="1"/>
  <c r="AZ34" i="18"/>
  <c r="BA34" s="1"/>
  <c r="BB34" s="1"/>
  <c r="AJ34"/>
  <c r="AK34" s="1"/>
  <c r="AL34" s="1"/>
  <c r="AJ22"/>
  <c r="AK22" s="1"/>
  <c r="AL22" s="1"/>
  <c r="AN22" s="1"/>
  <c r="AZ22"/>
  <c r="BA22" s="1"/>
  <c r="BB22" s="1"/>
  <c r="BD22" s="1"/>
  <c r="AM25" i="2"/>
  <c r="AN25" s="1"/>
  <c r="V7" i="1" s="1"/>
  <c r="AM17" i="10"/>
  <c r="AN17"/>
  <c r="BC36" i="11"/>
  <c r="BD36" s="1"/>
  <c r="BC12" i="14"/>
  <c r="BD12"/>
  <c r="W16" i="1" s="1"/>
  <c r="AJ282" i="6"/>
  <c r="AK282" s="1"/>
  <c r="AL282" s="1"/>
  <c r="AN282" s="1"/>
  <c r="AZ282"/>
  <c r="BA282" s="1"/>
  <c r="BB282" s="1"/>
  <c r="BD282" s="1"/>
  <c r="AZ8" i="7"/>
  <c r="BA8" s="1"/>
  <c r="BB8" s="1"/>
  <c r="BD8" s="1"/>
  <c r="AJ8"/>
  <c r="AK8" s="1"/>
  <c r="AL8" s="1"/>
  <c r="AN8" s="1"/>
  <c r="AJ28" i="10"/>
  <c r="AK28" s="1"/>
  <c r="AL28" s="1"/>
  <c r="AN28" s="1"/>
  <c r="AZ28"/>
  <c r="BA28" s="1"/>
  <c r="BB28" s="1"/>
  <c r="BD28" s="1"/>
  <c r="BC38"/>
  <c r="BD38"/>
  <c r="AM26"/>
  <c r="AN26"/>
  <c r="AM18" i="11"/>
  <c r="AN18"/>
  <c r="AM26"/>
  <c r="AN26"/>
  <c r="AM42"/>
  <c r="AN42"/>
  <c r="AM49" i="18"/>
  <c r="AN49" s="1"/>
  <c r="BC79" i="19"/>
  <c r="BD79"/>
  <c r="AZ89" i="6"/>
  <c r="BA89" s="1"/>
  <c r="BB89" s="1"/>
  <c r="BD89" s="1"/>
  <c r="AJ89"/>
  <c r="AK89" s="1"/>
  <c r="AL89" s="1"/>
  <c r="AN89" s="1"/>
  <c r="AZ43" i="7"/>
  <c r="BA43" s="1"/>
  <c r="BB43" s="1"/>
  <c r="BD43" s="1"/>
  <c r="AJ43"/>
  <c r="AK43" s="1"/>
  <c r="AL43" s="1"/>
  <c r="AN43" s="1"/>
  <c r="AJ59" i="10"/>
  <c r="AK59" s="1"/>
  <c r="AL59" s="1"/>
  <c r="AN59" s="1"/>
  <c r="AZ59"/>
  <c r="BA59" s="1"/>
  <c r="BB59" s="1"/>
  <c r="BD59" s="1"/>
  <c r="AJ19"/>
  <c r="AK19" s="1"/>
  <c r="AL19" s="1"/>
  <c r="AN19" s="1"/>
  <c r="AZ19"/>
  <c r="BC207" i="6"/>
  <c r="BD207"/>
  <c r="BC26" i="10"/>
  <c r="BD26"/>
  <c r="W6" i="1"/>
  <c r="BC43" i="2"/>
  <c r="BD43" s="1"/>
  <c r="AM15" i="10"/>
  <c r="AN15" s="1"/>
  <c r="AM31"/>
  <c r="AN31" s="1"/>
  <c r="BC7"/>
  <c r="BD7" s="1"/>
  <c r="AN36" i="2"/>
  <c r="AM36"/>
  <c r="AN60"/>
  <c r="AM60"/>
  <c r="AN68"/>
  <c r="AM68"/>
  <c r="AM24" i="10"/>
  <c r="AN24" s="1"/>
  <c r="AM15" i="11"/>
  <c r="AN15" s="1"/>
  <c r="AM5" i="14"/>
  <c r="AN5" s="1"/>
  <c r="BC25"/>
  <c r="BD25" s="1"/>
  <c r="AJ24" i="13"/>
  <c r="AK24" s="1"/>
  <c r="AL24" s="1"/>
  <c r="AN24" s="1"/>
  <c r="AZ24"/>
  <c r="BA24" s="1"/>
  <c r="BB24" s="1"/>
  <c r="BD24" s="1"/>
  <c r="AM12" i="14"/>
  <c r="AN12" s="1"/>
  <c r="BD38" i="18"/>
  <c r="BC38"/>
  <c r="BC47" i="19"/>
  <c r="BD47" s="1"/>
  <c r="BC56"/>
  <c r="BD56" s="1"/>
  <c r="BC31" i="10"/>
  <c r="BD31" s="1"/>
  <c r="AZ44" i="7"/>
  <c r="BA44" s="1"/>
  <c r="BB44" s="1"/>
  <c r="BD44" s="1"/>
  <c r="AJ44"/>
  <c r="AK44" s="1"/>
  <c r="AL44" s="1"/>
  <c r="AN44" s="1"/>
  <c r="AJ37" i="10"/>
  <c r="AK37" s="1"/>
  <c r="AL37" s="1"/>
  <c r="AZ37"/>
  <c r="BA37" s="1"/>
  <c r="BB37" s="1"/>
  <c r="BC36" i="2"/>
  <c r="BD36" s="1"/>
  <c r="BC68"/>
  <c r="BD68" s="1"/>
  <c r="AM22" i="10"/>
  <c r="AN22" s="1"/>
  <c r="AM38"/>
  <c r="AN38" s="1"/>
  <c r="AM9" i="14"/>
  <c r="AN9" s="1"/>
  <c r="BC247" i="6"/>
  <c r="BD247" s="1"/>
  <c r="BC14" i="10"/>
  <c r="BD14" s="1"/>
  <c r="AJ29"/>
  <c r="AK29" s="1"/>
  <c r="AL29" s="1"/>
  <c r="AN29" s="1"/>
  <c r="AZ29"/>
  <c r="BA29" s="1"/>
  <c r="BB29" s="1"/>
  <c r="BD29" s="1"/>
  <c r="AJ23" i="13"/>
  <c r="AK23" s="1"/>
  <c r="AL23" s="1"/>
  <c r="AN23" s="1"/>
  <c r="V17" i="1" s="1"/>
  <c r="X17" s="1"/>
  <c r="AZ23" i="13"/>
  <c r="BA23" s="1"/>
  <c r="BB23" s="1"/>
  <c r="BD23" s="1"/>
  <c r="AM28" i="19"/>
  <c r="AN28" s="1"/>
  <c r="BC29" i="2"/>
  <c r="BD29" s="1"/>
  <c r="BC22" i="10"/>
  <c r="BD22" s="1"/>
  <c r="AJ4" i="3"/>
  <c r="AK4" s="1"/>
  <c r="AL4" s="1"/>
  <c r="AN4" s="1"/>
  <c r="V5" i="1" s="1"/>
  <c r="AZ4" i="3"/>
  <c r="AJ279" i="6"/>
  <c r="AK279" s="1"/>
  <c r="AL279" s="1"/>
  <c r="AN279" s="1"/>
  <c r="AZ279"/>
  <c r="BA279" s="1"/>
  <c r="BB279" s="1"/>
  <c r="BD279" s="1"/>
  <c r="AJ308"/>
  <c r="AK308" s="1"/>
  <c r="AL308" s="1"/>
  <c r="AN308" s="1"/>
  <c r="AZ308"/>
  <c r="BA308" s="1"/>
  <c r="BB308" s="1"/>
  <c r="BD308" s="1"/>
  <c r="AJ17" i="18"/>
  <c r="AK17" s="1"/>
  <c r="AL17" s="1"/>
  <c r="AN17" s="1"/>
  <c r="AZ17"/>
  <c r="BA17" s="1"/>
  <c r="BB17" s="1"/>
  <c r="BD17" s="1"/>
  <c r="AJ16" i="19"/>
  <c r="AK16" s="1"/>
  <c r="AL16" s="1"/>
  <c r="AN16" s="1"/>
  <c r="AZ16"/>
  <c r="BA16" s="1"/>
  <c r="BB16" s="1"/>
  <c r="BD16" s="1"/>
  <c r="BC66" i="2"/>
  <c r="BD66" s="1"/>
  <c r="AN66"/>
  <c r="AM66"/>
  <c r="BC49" i="10"/>
  <c r="BD49" s="1"/>
  <c r="BD11" i="11"/>
  <c r="BC11"/>
  <c r="BD27"/>
  <c r="BC27"/>
  <c r="AM5"/>
  <c r="AN5" s="1"/>
  <c r="V14" i="1" s="1"/>
  <c r="BC28" i="14"/>
  <c r="BD28" s="1"/>
  <c r="AN32" i="18"/>
  <c r="AM32"/>
  <c r="AZ9" i="3"/>
  <c r="BA9" s="1"/>
  <c r="BB9" s="1"/>
  <c r="BD9" s="1"/>
  <c r="W5" i="1" s="1"/>
  <c r="AJ9" i="3"/>
  <c r="AK9" s="1"/>
  <c r="AL9" s="1"/>
  <c r="AN9" s="1"/>
  <c r="AJ299" i="6"/>
  <c r="AK299" s="1"/>
  <c r="AL299" s="1"/>
  <c r="AN299" s="1"/>
  <c r="AZ299"/>
  <c r="BA299" s="1"/>
  <c r="BB299" s="1"/>
  <c r="BD299" s="1"/>
  <c r="AJ313"/>
  <c r="AK313" s="1"/>
  <c r="AL313" s="1"/>
  <c r="AN313" s="1"/>
  <c r="AZ313"/>
  <c r="BA313" s="1"/>
  <c r="BB313" s="1"/>
  <c r="BD313" s="1"/>
  <c r="AJ25" i="10"/>
  <c r="AK25" s="1"/>
  <c r="AL25" s="1"/>
  <c r="AZ25"/>
  <c r="BA25" s="1"/>
  <c r="BB25" s="1"/>
  <c r="V15" i="1"/>
  <c r="AJ30" i="19"/>
  <c r="AK30" s="1"/>
  <c r="AL30" s="1"/>
  <c r="AN30" s="1"/>
  <c r="AZ30"/>
  <c r="BA30" s="1"/>
  <c r="BB30" s="1"/>
  <c r="BD30" s="1"/>
  <c r="AJ14" i="18"/>
  <c r="AK14" s="1"/>
  <c r="AL14" s="1"/>
  <c r="AN14" s="1"/>
  <c r="AZ14"/>
  <c r="BA14" s="1"/>
  <c r="BB14" s="1"/>
  <c r="BD14" s="1"/>
  <c r="BC41" i="2"/>
  <c r="BD41" s="1"/>
  <c r="BD44" i="11"/>
  <c r="BC44"/>
  <c r="AM19" i="14"/>
  <c r="AN19" s="1"/>
  <c r="BD49" i="18"/>
  <c r="BC49"/>
  <c r="AJ302" i="6"/>
  <c r="AK302" s="1"/>
  <c r="AL302" s="1"/>
  <c r="AN302" s="1"/>
  <c r="AZ302"/>
  <c r="BA302" s="1"/>
  <c r="BB302" s="1"/>
  <c r="BD302" s="1"/>
  <c r="AJ7" i="18"/>
  <c r="AK7" s="1"/>
  <c r="AL7" s="1"/>
  <c r="AZ7"/>
  <c r="AJ23"/>
  <c r="AK23" s="1"/>
  <c r="AL23" s="1"/>
  <c r="AN23" s="1"/>
  <c r="AZ23"/>
  <c r="BA23" s="1"/>
  <c r="BB23" s="1"/>
  <c r="BD23" s="1"/>
  <c r="AJ18" i="19"/>
  <c r="AK18" s="1"/>
  <c r="AL18" s="1"/>
  <c r="AN18" s="1"/>
  <c r="AZ18"/>
  <c r="AM116" i="6"/>
  <c r="AN116" s="1"/>
  <c r="AM167"/>
  <c r="AN167" s="1"/>
  <c r="BC17" i="10"/>
  <c r="BD17" s="1"/>
  <c r="AM28" i="14"/>
  <c r="AN28" s="1"/>
  <c r="AJ296" i="6"/>
  <c r="AK296" s="1"/>
  <c r="AL296" s="1"/>
  <c r="AN296" s="1"/>
  <c r="AZ296"/>
  <c r="BA296" s="1"/>
  <c r="BB296" s="1"/>
  <c r="BD296" s="1"/>
  <c r="AJ307"/>
  <c r="AK307" s="1"/>
  <c r="AL307" s="1"/>
  <c r="AN307" s="1"/>
  <c r="AZ307"/>
  <c r="BA307" s="1"/>
  <c r="BB307" s="1"/>
  <c r="BD307" s="1"/>
  <c r="AJ16" i="18"/>
  <c r="AK16" s="1"/>
  <c r="AL16" s="1"/>
  <c r="AN16" s="1"/>
  <c r="AZ16"/>
  <c r="BC24" i="10"/>
  <c r="BD24" s="1"/>
  <c r="AM30" i="14"/>
  <c r="AN30" s="1"/>
  <c r="BC15" i="10"/>
  <c r="BD15" s="1"/>
  <c r="V19" i="1"/>
  <c r="X19" s="1"/>
  <c r="X8"/>
  <c r="W15"/>
  <c r="W19"/>
  <c r="X15" l="1"/>
  <c r="W7"/>
  <c r="X7" s="1"/>
  <c r="W22"/>
  <c r="V22"/>
  <c r="W21"/>
  <c r="W14"/>
  <c r="X14" s="1"/>
  <c r="AM7" i="18"/>
  <c r="AN7"/>
  <c r="AN34"/>
  <c r="AM34"/>
  <c r="AM7" i="7"/>
  <c r="AN7"/>
  <c r="BC54" i="10"/>
  <c r="BD54" s="1"/>
  <c r="BC21"/>
  <c r="BD21"/>
  <c r="BC310" i="6"/>
  <c r="BD310" s="1"/>
  <c r="BC57" i="10"/>
  <c r="BD57"/>
  <c r="BC4"/>
  <c r="BD4" s="1"/>
  <c r="AM26" i="7"/>
  <c r="AN26"/>
  <c r="BC33" i="10"/>
  <c r="BD33"/>
  <c r="AM74" i="6"/>
  <c r="AN74" s="1"/>
  <c r="V9" i="1" s="1"/>
  <c r="AM6" i="10"/>
  <c r="AN6" s="1"/>
  <c r="BC52" i="7"/>
  <c r="BD52" s="1"/>
  <c r="AM26" i="18"/>
  <c r="AN26" s="1"/>
  <c r="AM5" i="10"/>
  <c r="AN5"/>
  <c r="AM11"/>
  <c r="AN11" s="1"/>
  <c r="AM16"/>
  <c r="AN16"/>
  <c r="BD35" i="7"/>
  <c r="BC35"/>
  <c r="AM42" i="10"/>
  <c r="AN42"/>
  <c r="AM274" i="6"/>
  <c r="AN274" s="1"/>
  <c r="AM8" i="10"/>
  <c r="AN8"/>
  <c r="BD5" i="7"/>
  <c r="BC5"/>
  <c r="AM25" i="18"/>
  <c r="AN25"/>
  <c r="AM30" i="10"/>
  <c r="AN30" s="1"/>
  <c r="X5" i="1"/>
  <c r="AM41" i="10"/>
  <c r="AN41" s="1"/>
  <c r="AM12" i="18"/>
  <c r="AN12"/>
  <c r="BC16" i="7"/>
  <c r="BD16" s="1"/>
  <c r="AN27" i="18"/>
  <c r="AM27"/>
  <c r="AM58" i="10"/>
  <c r="AN58" s="1"/>
  <c r="BC48"/>
  <c r="BD48" s="1"/>
  <c r="BC44" i="18"/>
  <c r="BD44" s="1"/>
  <c r="AM4"/>
  <c r="AN4" s="1"/>
  <c r="V20" i="1" s="1"/>
  <c r="AM47" i="10"/>
  <c r="AN47"/>
  <c r="BD31" i="7"/>
  <c r="BC31"/>
  <c r="AM15" i="18"/>
  <c r="AN15"/>
  <c r="AM12" i="10"/>
  <c r="AN12" s="1"/>
  <c r="BC38" i="7"/>
  <c r="BD38" s="1"/>
  <c r="AM52"/>
  <c r="AN52" s="1"/>
  <c r="BC26" i="18"/>
  <c r="BD26"/>
  <c r="BC11" i="10"/>
  <c r="BD11" s="1"/>
  <c r="BC16"/>
  <c r="BD16"/>
  <c r="AM35" i="7"/>
  <c r="AN35" s="1"/>
  <c r="BC42" i="10"/>
  <c r="BD42"/>
  <c r="BC274" i="6"/>
  <c r="BD274" s="1"/>
  <c r="BC8" i="10"/>
  <c r="BD8"/>
  <c r="AM5" i="7"/>
  <c r="AN5" s="1"/>
  <c r="BC25" i="18"/>
  <c r="BD25"/>
  <c r="BC30" i="10"/>
  <c r="BD30" s="1"/>
  <c r="AM25"/>
  <c r="AN25"/>
  <c r="AM37"/>
  <c r="AN37"/>
  <c r="BC41"/>
  <c r="BD41"/>
  <c r="BC12" i="18"/>
  <c r="BD12"/>
  <c r="AM16" i="7"/>
  <c r="AN16"/>
  <c r="BC27" i="18"/>
  <c r="BD27"/>
  <c r="BC58" i="10"/>
  <c r="BD58"/>
  <c r="AM48"/>
  <c r="AN48" s="1"/>
  <c r="AM44" i="18"/>
  <c r="AN44" s="1"/>
  <c r="BC47" i="10"/>
  <c r="BD47"/>
  <c r="AM31" i="7"/>
  <c r="AN31"/>
  <c r="BC12" i="10"/>
  <c r="BD12"/>
  <c r="AM38" i="7"/>
  <c r="AN38"/>
  <c r="AM56" i="10"/>
  <c r="AN56" s="1"/>
  <c r="AM20" i="19"/>
  <c r="AN20"/>
  <c r="V21" i="1" s="1"/>
  <c r="X21" s="1"/>
  <c r="AM18" i="10"/>
  <c r="AN18"/>
  <c r="AM18" i="18"/>
  <c r="AN18"/>
  <c r="BC50"/>
  <c r="BD50" s="1"/>
  <c r="AM34" i="10"/>
  <c r="AN34"/>
  <c r="AM53"/>
  <c r="AN53" s="1"/>
  <c r="AM44"/>
  <c r="AN44"/>
  <c r="BC42" i="7"/>
  <c r="BD42" s="1"/>
  <c r="AM9" i="10"/>
  <c r="AN9"/>
  <c r="AM45"/>
  <c r="AN45"/>
  <c r="AM5" i="18"/>
  <c r="AN5"/>
  <c r="AM50" i="10"/>
  <c r="AN50" s="1"/>
  <c r="X6" i="1"/>
  <c r="BC25" i="10"/>
  <c r="BD25" s="1"/>
  <c r="BC37"/>
  <c r="BD37" s="1"/>
  <c r="BC34" i="18"/>
  <c r="BD34" s="1"/>
  <c r="BD7" i="7"/>
  <c r="BC7"/>
  <c r="AM54" i="10"/>
  <c r="AN54" s="1"/>
  <c r="AM21"/>
  <c r="AN21" s="1"/>
  <c r="AM310" i="6"/>
  <c r="AN310"/>
  <c r="AN57" i="10"/>
  <c r="AM57"/>
  <c r="AM4"/>
  <c r="AN4"/>
  <c r="BD26" i="7"/>
  <c r="BC26"/>
  <c r="W12" i="1"/>
  <c r="AM10" i="10"/>
  <c r="AN10" s="1"/>
  <c r="AM33"/>
  <c r="AN33"/>
  <c r="BD74" i="6"/>
  <c r="BC74"/>
  <c r="BC56" i="10"/>
  <c r="BD56"/>
  <c r="BC18"/>
  <c r="BD18" s="1"/>
  <c r="BC18" i="18"/>
  <c r="BD18"/>
  <c r="W20" i="1" s="1"/>
  <c r="AN50" i="18"/>
  <c r="AM50"/>
  <c r="BC34" i="10"/>
  <c r="BD34"/>
  <c r="BC53"/>
  <c r="BD53" s="1"/>
  <c r="BC44"/>
  <c r="BD44"/>
  <c r="AM42" i="7"/>
  <c r="AN42" s="1"/>
  <c r="W11" i="1"/>
  <c r="BC9" i="10"/>
  <c r="BD9" s="1"/>
  <c r="BC45"/>
  <c r="BD45"/>
  <c r="BC50"/>
  <c r="BD50"/>
  <c r="V16" i="1"/>
  <c r="X16" s="1"/>
  <c r="V12"/>
  <c r="X22" l="1"/>
  <c r="W13"/>
  <c r="X20"/>
  <c r="W10"/>
  <c r="W9"/>
  <c r="X9" s="1"/>
  <c r="V10"/>
  <c r="X10" s="1"/>
  <c r="X12"/>
  <c r="V11"/>
  <c r="X11" s="1"/>
  <c r="V13"/>
  <c r="X13" s="1"/>
</calcChain>
</file>

<file path=xl/sharedStrings.xml><?xml version="1.0" encoding="utf-8"?>
<sst xmlns="http://schemas.openxmlformats.org/spreadsheetml/2006/main" count="12627" uniqueCount="1093">
  <si>
    <t xml:space="preserve"> </t>
  </si>
  <si>
    <t>Quantidade de alunos nos cursos Presenciais</t>
  </si>
  <si>
    <t>Quantidade de alunos nos cursos a Distância</t>
  </si>
  <si>
    <t>Quantidade de alunos RIP</t>
  </si>
  <si>
    <t>Matriculas Totais dos cursos Presenciais</t>
  </si>
  <si>
    <t>Matriculas Totais dos cursos a Distância</t>
  </si>
  <si>
    <t>UF</t>
  </si>
  <si>
    <t>Cidade</t>
  </si>
  <si>
    <t>Instituição</t>
  </si>
  <si>
    <t>Unidade de Ensino</t>
  </si>
  <si>
    <t>Categoria do Campus</t>
  </si>
  <si>
    <t>IDH</t>
  </si>
  <si>
    <t xml:space="preserve"> 2016/02</t>
  </si>
  <si>
    <t>2017/01</t>
  </si>
  <si>
    <t>QACP
Média</t>
  </si>
  <si>
    <t>QEAD
Média</t>
  </si>
  <si>
    <t>QRIP
Média</t>
  </si>
  <si>
    <t>MTP
Média</t>
  </si>
  <si>
    <t>2016/02</t>
  </si>
  <si>
    <t>MTD
Média</t>
  </si>
  <si>
    <t>PA</t>
  </si>
  <si>
    <t>ALTAMIRA</t>
  </si>
  <si>
    <t>IFPA</t>
  </si>
  <si>
    <t>CAMPUS ALTAMIRA</t>
  </si>
  <si>
    <t>P</t>
  </si>
  <si>
    <t>ANANINDEUA</t>
  </si>
  <si>
    <t>CAMPUS ANANINDEUA</t>
  </si>
  <si>
    <t>E</t>
  </si>
  <si>
    <t>ABAETETUBA</t>
  </si>
  <si>
    <t>CAMPUS ABAETETUBA</t>
  </si>
  <si>
    <t>PARAUPEBAS</t>
  </si>
  <si>
    <t>CAMPUS PARAUAPEBAS</t>
  </si>
  <si>
    <t>BELÉM</t>
  </si>
  <si>
    <t>CAMPUS BELEM</t>
  </si>
  <si>
    <t>BRAGANÇA</t>
  </si>
  <si>
    <t>CAMPUS BRAGANCA</t>
  </si>
  <si>
    <t>BREVES</t>
  </si>
  <si>
    <t>CAMPUS BREVES</t>
  </si>
  <si>
    <t>CAMETÁ</t>
  </si>
  <si>
    <t>CAMPUS CAMETA</t>
  </si>
  <si>
    <t>CASTANHAL</t>
  </si>
  <si>
    <t>CAMPUS CASTANHAL</t>
  </si>
  <si>
    <t>CONCEIÇÃO DO ARAGUAIA</t>
  </si>
  <si>
    <t>CAMPUS CONCEICAO DO ARAGUAIA</t>
  </si>
  <si>
    <t>ITAITUBA</t>
  </si>
  <si>
    <t>CAMPUS ITAITUBA</t>
  </si>
  <si>
    <t>MARABÁ</t>
  </si>
  <si>
    <t>CAMPUS MARABA RURAL</t>
  </si>
  <si>
    <t>CAMPUS MARABA INDUSTRIAL</t>
  </si>
  <si>
    <t>ÓBIDOS</t>
  </si>
  <si>
    <t>CAMPUS OBIDOS</t>
  </si>
  <si>
    <t>PARAGOMINAS</t>
  </si>
  <si>
    <t>CAMPUS PARAGOMINAS</t>
  </si>
  <si>
    <t>SANTARÉM</t>
  </si>
  <si>
    <t>CAMPUS SANTAREM</t>
  </si>
  <si>
    <t>TUCURUÍ</t>
  </si>
  <si>
    <t>CAMPUS TUCURUI</t>
  </si>
  <si>
    <t>VIGIA</t>
  </si>
  <si>
    <t>CAMPUS AVANCADO VIGIA</t>
  </si>
  <si>
    <t>ECA</t>
  </si>
  <si>
    <t>versão 4.8</t>
  </si>
  <si>
    <t>Modalidade de Ensino</t>
  </si>
  <si>
    <t>Tipo do curso</t>
  </si>
  <si>
    <t>Modalidade de Pagamento</t>
  </si>
  <si>
    <t>Nome do curso</t>
  </si>
  <si>
    <t>Área ou Eixo</t>
  </si>
  <si>
    <t>Curso de Agropecuária</t>
  </si>
  <si>
    <t>PROEJA</t>
  </si>
  <si>
    <t>ETEC</t>
  </si>
  <si>
    <t>Ciclo da matrícula</t>
  </si>
  <si>
    <t>Nome do Ciclo</t>
  </si>
  <si>
    <t>DIC 
 Data de início de cliclo</t>
  </si>
  <si>
    <t>DTC 
 Data prevista de término do ciclo</t>
  </si>
  <si>
    <t>CHC 
 Carga horária do ciclo</t>
  </si>
  <si>
    <t>CHM 
 Carga horária do catálogo do MEC</t>
  </si>
  <si>
    <t>PC 
 Peso do curso</t>
  </si>
  <si>
    <t>QTDC 
 Quantidade de dias do Ciclo 
 QDTC = DTC - DIC + 1</t>
  </si>
  <si>
    <t>CHMD 
 Carga Horária Média Diária 
 CHMD = CHC/QDTC</t>
  </si>
  <si>
    <t>CHA 
 Carga Horária Anualizada 
 CHA = SE(QDTC&gt;365;CHMD*365;CHC)</t>
  </si>
  <si>
    <t>FECH 
 Fator de Equalização de Carga Horária 
 FECH = SE(QDTC&gt;365;CHA/800;CHC/800)</t>
  </si>
  <si>
    <t xml:space="preserve"> CALCULO DAS MATRICULAS TOTAIS PARA 2016/02
-------&gt;</t>
  </si>
  <si>
    <t>DIP1P 
 Dt. Início do período em 
 2016/02</t>
  </si>
  <si>
    <t>DFP1P 
 Dt. Término do período em 
 2016/02</t>
  </si>
  <si>
    <t>QTM1P 
 Qtd. Matrículas em 
 2016/02</t>
  </si>
  <si>
    <t>DACP1 Dias Ativos do Ciclo no Período
1 - começa antes do início do período
e
termina depois do final do período
DACP1=SE(E(DIC&lt;DIP201602;DTC&gt;DFP201602);DFP201602-DIP201602+1;0)</t>
  </si>
  <si>
    <t>DACP2 Dias Ativos do Ciclo no Período 
2 - começa dentro do período
e
temina depois do final do período
DACP2=SE(E(DIC&gt;=DIP201602;DTC&gt;DFP201602;DIC&lt;DFP201602);DFP201602-DIC+1;0)</t>
  </si>
  <si>
    <t>DACP3 Dias Ativos do Ciclo no Período 3 - começa antes do início do período e termina antes do final do período DACP3=SE(E(DIC&lt;DIP20152;DTC&lt;=DFP20152;DTC&gt;=DIP20152);DTC-DIP20152+1;0)</t>
  </si>
  <si>
    <t>DACP4 Dias Ativos do Ciclo no Período 
 4 - começa depois do início do período
e
termina antes  do final do período
DACP4=SE(E(DIC&gt;=DIP201602;DTC&lt;=DFP201602);DTC-DIC+1;0)</t>
  </si>
  <si>
    <t>DACP5 Dias Ativos do Ciclo no Período 
 5 - começa antes do início do período
e
termina antes  do início do período
DACP5=SE(E(DIC&lt;DIP201602;DTC&lt;DIP201602);(DFP201602-DIP201602+1)/2;0)</t>
  </si>
  <si>
    <t>FEDA
Fator de Equalização de Dias Ativos
FEDA=SOMA(DACP DE 1 A 5)
/(DFP201602-DIP201602+1)</t>
  </si>
  <si>
    <t>FECHDA
Fator de Equalização de Carga Horária e Dias Ativos
FECHDA=FECH*FEDA</t>
  </si>
  <si>
    <t>MECHDA
Matrículas Equalizadas por  Carga Horária e Dias Ativos
MECHDA=SE(DACP5=0;FECHDA*QTM201602;SE(DIP201602-DTC&gt;1095;0;FECHDA*(QTM201602/2)))</t>
  </si>
  <si>
    <t>MP
Matrículas Ponderadas
MP=MECHDA*PC</t>
  </si>
  <si>
    <t>BA
Bônus Agropecuária
BA=SE(Agropecuária="SIM";
MP*50%;0)</t>
  </si>
  <si>
    <t>MT201602
Matrículas Totais para 2016/02
MT201602=MP+BA</t>
  </si>
  <si>
    <t xml:space="preserve"> CALCULO DAS MATRICULAS TOTAIS PARA 2017/01
-------&gt;</t>
  </si>
  <si>
    <t>DIP201701
Dt. Inicial do
Período
2017/01</t>
  </si>
  <si>
    <t>DFP201701
Dt. Final
Período
2017/01</t>
  </si>
  <si>
    <t>QTM201701
Qtd. Matrículas
em 2017/01</t>
  </si>
  <si>
    <t>DACP1 Dias Ativos do Ciclo no Período
1 - começa antes do início do período
e
termina depois do final do período
DACP1=SE(E(DIC&lt;DIP201701;DTC&gt;DFP201701);DFP201701-DIP201701+1;0)</t>
  </si>
  <si>
    <t>DACP2 Dias Ativos do Ciclo no Período 
2 - começa dentro do período
e
temina depois do final do período
DACP2=SE(E(DIC&gt;=DIP201701;DTC&gt;DFP201701;DIC&lt;DFP201701);DFP201701-DIC+1;0)</t>
  </si>
  <si>
    <t xml:space="preserve">DACP3 Dias Ativos do Ciclo no Período 
3 - começa antes do início do período
e
termina antes do final do período
DACP3=SE(E(DIC&lt;DIP201701;DTC&lt;=DFP201701;DTC&gt;=DIP201701);DTC-DIP201701+1;0)
</t>
  </si>
  <si>
    <t>DACP4 Dias Ativos do Ciclo no Período 
 4 - começa depois do início do período
e
termina antes  do final do período
DACP4=SE(E(DIC&gt;=DIP201701;DTC&lt;=DFP201701);DTC-DIC+1;0)</t>
  </si>
  <si>
    <t>DACP5 Dias Ativos do Ciclo no Período 
 5 - começa antes do início do período
e
termina antes  do início do período
DACP5=SE(E(DIC&lt;DIP201701;DTC&lt;DIP201701);(DFP201701-DIP201701+1)/2;0)</t>
  </si>
  <si>
    <t>FEDA
Fator de Equalização de Dias Ativos
FEDA=SOMA(DACP DE 1 A 5)
/(DFP201701-DIP201701+1)</t>
  </si>
  <si>
    <t>MECHDA
Matrículas Equalizadas por  Carga Horária e Dias Ativos
MECHDA=SE(DACP5=0;FECHDA*QTM201701;SE(DIP201701-DTC&gt;1095;0;FECHDA*(QTM201701/2)))</t>
  </si>
  <si>
    <t>MT201701
Matrículas Totais para 2017/01
MT201701=MP+BA</t>
  </si>
  <si>
    <t>ENSINO PRESENCIAL</t>
  </si>
  <si>
    <t>TÉCNICO</t>
  </si>
  <si>
    <t>GRATUITO</t>
  </si>
  <si>
    <t>TÉCNICO EM INFORMÁTICA</t>
  </si>
  <si>
    <t>INFORMAÇÃO E COMUNICAÇÃO</t>
  </si>
  <si>
    <t>NÃO</t>
  </si>
  <si>
    <t>TÉCNICO EM INFORMÁTICA - PRESENCIAL - INTEGRADO - MAR. 2010 / SET. 2013</t>
  </si>
  <si>
    <t>LICENCIATURA</t>
  </si>
  <si>
    <t>EDUCAÇÃO DO CAMPO</t>
  </si>
  <si>
    <t>DESENVOLVIMENTO EDUCACIONAL E SOCIAL</t>
  </si>
  <si>
    <t>EDUCAÇÃO DO CAMPO - PRESENCIAL - JUL. 2009 / JAN. 2014</t>
  </si>
  <si>
    <t>FORMAÇÃO PEDAGÓGICA DE DOCENTTES PARA AS DISCIPLINAS DO CURRÍCULO DO ENSINO FUNDAMENTAL, MÉDIO E DA EDUCAÇAO PROFISSIONAL EM NÍVEL MÉDIO</t>
  </si>
  <si>
    <t>PARFOR PEDAGOGIA CAMETA MÉDIO - PRESENCIAL - JUL. 2010 / JUL. 2014</t>
  </si>
  <si>
    <t>COMPUTAÇÃO</t>
  </si>
  <si>
    <t>PARFOR COMPUTAÇÃO TAILANDIA - PRESENCIAL - JUL. 2010 / JUL. 2014</t>
  </si>
  <si>
    <t>PARFOR COMPUTAÇÃO MOJU - PRESENCIAL - JUL. 2010 / JUL. 2014</t>
  </si>
  <si>
    <t>TÉCNICO EM INFORMÁTICA - PRESENCIAL - INTEGRADO - FEV. 2011 / SET. 2014</t>
  </si>
  <si>
    <t>TÉCNICO EM EDIFICAÇÕES</t>
  </si>
  <si>
    <t>INFRAESTRUTURA</t>
  </si>
  <si>
    <t>TÉCNICO EM EDIFICAÇÕES - PRESENCIAL - INTEGRADO - FEV. 2011 / SET. 2014</t>
  </si>
  <si>
    <t>TÉCNICO EM MECÂNICA</t>
  </si>
  <si>
    <t>CONTROLE E PROCESSOS INDUSTRIAIS</t>
  </si>
  <si>
    <t>TÉCNICO EM MECÂNICA - PRESENCIAL - INTEGRADO - FEV. 2011 / SET. 2014</t>
  </si>
  <si>
    <t>BIOLOGIA</t>
  </si>
  <si>
    <t>AMBIENTE, SAÚDE E SEGURANÇA</t>
  </si>
  <si>
    <t>BIOLOGIA - PRESENCIAL - MAR. 2011 / MAR. 2014</t>
  </si>
  <si>
    <t>PARFOR COMPUTAÇÃO MOJU - PRESENCIAL - JUL. 2011 / DEZ. 2014</t>
  </si>
  <si>
    <t>PARFOR PEDAGOGIA ABAETETUBA - PRESENCIAL - JUL. 2011 / DEZ. 2014</t>
  </si>
  <si>
    <t>PARFOR MOJU EDUCAÇÃO DO CAMPO - PRESENCIAL - JUL. 2011 / DEZ. 2014</t>
  </si>
  <si>
    <t>TÉCNICO EM MEIO AMBIENTE</t>
  </si>
  <si>
    <t>ABAETETUBA TÉCNICO EM MEIO AMBIENTE - PRESENCIAL - SUBSEQUENTE - MAR. 2012 / DEZ. 2013</t>
  </si>
  <si>
    <t>ABAETETUBA TÉCNICO EM INFORMÁTICA - PRESENCIAL - INTEGRADO - MAR. 2012 / SET. 2015</t>
  </si>
  <si>
    <t>ABAETETUBA TÉCNICO EM MECÂNICA - PRESENCIAL - INTEGRADO - MAR. 2012 / SET. 2015</t>
  </si>
  <si>
    <t>ABAETEUBA LIC. BIOLOGIA - PRESENCIAL - MAR. 2012 / MAR. 2015</t>
  </si>
  <si>
    <t>CAMETA - PEDAGOGIA - PRESENCIAL - MAR. 2012 / JUN. 2016</t>
  </si>
  <si>
    <t>ABAETETUBA - LICENCIATURA EM CIÊNCIAS BIOLOGICAS - PRESENCIAL - ABR. 2013 / DEZ. 2016</t>
  </si>
  <si>
    <t>TÉCNICO EM INFORMÁTICA - PRESENCIAL - INTEGRADO - ABR. 2013 / DEZ. 2016</t>
  </si>
  <si>
    <t>TÉCNICO EM EDIFICAÇÕES - PRESENCIAL - INTEGRADO - ABR. 2013 / DEZ. 2016</t>
  </si>
  <si>
    <t>TÉCNICO EM MECÂNICA - PRESENCIAL - INTEGRADO - ABR. 2013 / DEZ. 2016</t>
  </si>
  <si>
    <t>TÉCNICO EM AQUICULTURA</t>
  </si>
  <si>
    <t>RECURSOS NATURAIS</t>
  </si>
  <si>
    <t>SIM</t>
  </si>
  <si>
    <t>TÉCNICO EM AQÜICULTURA - PRESENCIAL - SUBSEQUENTE - ABR. 2013 / DEZ. 2014</t>
  </si>
  <si>
    <t>TÉCNICO EM MEIO AMBIENTE - PRESENCIAL - SUBSEQUENTE - ABR. 2013 / DEZ. 2014</t>
  </si>
  <si>
    <t>ABAETETUBA - LICENCIATURA EM CIÊNCIAS BIOLOGICAS - PRESENCIAL - FEV. 2014 / DEZ. 2017</t>
  </si>
  <si>
    <t>FÍSICA</t>
  </si>
  <si>
    <t>ABAETETIBA - LICENCIATURA EM FÍSICA - PRESENCIAL - MAI. 2012 / DEZ. 2016</t>
  </si>
  <si>
    <t>ENSINO A DISTANCIA</t>
  </si>
  <si>
    <t>TÉCNICO EM AQÜICULTURA - A DISTÂNCIA - SUBSEQUENTE - MAR. 2012 / DEZ. 2014</t>
  </si>
  <si>
    <t>TÉCNICO EM METALURGIA</t>
  </si>
  <si>
    <t>TÉCNICO EM METALURGIA - A DISTÂNCIA - SUBSEQUENTE - MAR. 2012 / DEZ. 2014</t>
  </si>
  <si>
    <t>TECNICO EM SANEAMENTO URBANO</t>
  </si>
  <si>
    <t>TECNICO EM SANEAMENTO URBANO - A DISTÂNCIA - SUBSEQUENTE - MAR. 2012 / DEZ. 2014</t>
  </si>
  <si>
    <t>TÉCNICO EM INFORMÁTICA - A DISTÂNCIA - SUBSEQUENTE - MAR. 2012 / DEZ. 2014</t>
  </si>
  <si>
    <t>TÉCNICO EM SEGURANÇA DO TRABALHO</t>
  </si>
  <si>
    <t>TÉCNICO EM SEGURANÇA DO TRABALHO - PRESENCIAL - SUBSEQUENTE - OUT. 2014 / DEZ. 2016</t>
  </si>
  <si>
    <t>TÉCNICO EM MEIO AMBIENTE - PRESENCIAL - SUBSEQUENTE - OUT. 2014 / DEZ. 2016</t>
  </si>
  <si>
    <t>TÉCNICO EM EDIFICAÇÕES - PRESENCIAL - SUBSEQUENTE - OUT. 2014 / DEZ. 2016</t>
  </si>
  <si>
    <t>TÉCNICO EM AQÜICULTURA - PRESENCIAL - SUBSEQUENTE - OUT. 2014 / DEZ. 2016</t>
  </si>
  <si>
    <t>TÉCNICO EM MULTIMEIOS DIDÁTICOS</t>
  </si>
  <si>
    <t>APOIO EDUCACIONAL</t>
  </si>
  <si>
    <t>TÉCNICO EM MULTIMEIOS DIDÁTICOS - A DISTÂNCIA - SUBSEQUENTE - OUT. 2014 / DEZ. 2016 - EMEF ANTONIO DE OLIVEIRA GORDO - POLO MOJU</t>
  </si>
  <si>
    <t>TÉCNICO EM ALIMENTAÇÃO ESCOLAR</t>
  </si>
  <si>
    <t>TÉCNICO EM ALIMENTAÇÃO ESCOLAR - A DISTÂNCIA - SUBSEQUENTE - OUT. 2014 / DEZ. 2016 - EMEF ANTONIO DE OLIVEIRA GORDO - POLO MOJU</t>
  </si>
  <si>
    <t>TÉCNICO EM MULTIMEIOS DIDÁTICOS - A DISTÂNCIA - SUBSEQUENTE - NOV. 2014 / DEZ. 2016 - INSTITUTO FEDERAL DE CIENCIA E TECNOLOGIA DO PARA</t>
  </si>
  <si>
    <t>ABAETETUBA - LICENCIATURA EM CIÊNCIAS BIOLOGIAS - PRESENCIAL - MAI. 2015 / DEZ. 2018</t>
  </si>
  <si>
    <t>TÉCNICO EM AQUICULTURA - PRESENCIAL - SUBSEQUENTE - MAI. 2015 / DEZ. 2016</t>
  </si>
  <si>
    <t>TÉCNICO EM EDIFICAÇÕES - PRESENCIAL - SUBSEQUENTE - MAI. 2015 / DEZ. 2016</t>
  </si>
  <si>
    <t>TÉCNICO EM PESCA</t>
  </si>
  <si>
    <t>TÉCNICO EM PESCA - PRESENCIAL - SUBSEQUENTE - MAI. 2015 / DEZ. 2016</t>
  </si>
  <si>
    <t>TÉCNICO EM SEGURANÇA DO TRABALHO - PRESENCIAL - SUBSEQUENTE - MAI. 2015 / DEZ. 2016</t>
  </si>
  <si>
    <t>TÉCNICO EM MEIO AMBIENTE - PRESENCIAL - SUBSEQUENTE - MAI. 2015 / DEZ. 2016</t>
  </si>
  <si>
    <t>TÉCNICO EM SANEAMENTO</t>
  </si>
  <si>
    <t>TÉCNICO EM SANEAMENTO - PRESENCIAL - SUBSEQUENTE - MAI. 2015 / DEZ. 2016</t>
  </si>
  <si>
    <t>TÉCNICO EM INFORMÁTICA - PRESENCIAL - INTEGRADO - MAI. 2015 / DEZ. 2019</t>
  </si>
  <si>
    <t>TÉCNICO EM EDIFICAÇÕES - PRESENCIAL - INTEGRADO - MAI. 2015 / DEZ. 2018</t>
  </si>
  <si>
    <t>TÉCNICO EM MECÂNICA - PRESENCIAL - INTEGRADO - MAI. 2015 / DEZ. 2018</t>
  </si>
  <si>
    <t>TÉCNICO EM MEIO AMBIENTE - PRESENCIAL - INTEGRADO - MAI. 2015 / DEZ. 2018</t>
  </si>
  <si>
    <t>TÉCNICO EM INFORMÁTICA - PRESENCIAL - SUBSEQUENTE - AGO. 2015 / DEZ. 2017</t>
  </si>
  <si>
    <t>TÉCNICO EM MEIO AMBIENTE - PRESENCIAL - INTEGRADO - JUN. 2016 / DEZ. 2020</t>
  </si>
  <si>
    <t>TÉCNICO EM INFORMÁTICA - PRESENCIAL - SUBSEQUENTE - JUN. 2016 / DEZ. 2018</t>
  </si>
  <si>
    <t>TÉCNICO EM EDIFICAÇÕES - PRESENCIAL - INTEGRADO - JUN. 2016 / DEZ. 2020</t>
  </si>
  <si>
    <t>TÉCNICO EM INFORMÁTICA - PRESENCIAL - INTEGRADO - JUN. 2016 / DEZ. 2020</t>
  </si>
  <si>
    <t>TÉCNICO EM MEIO AMBIENTE - PRESENCIAL - SUBSEQUENTE - JUN. 2016 / DEZ. 2018</t>
  </si>
  <si>
    <t>TÉCNICO EM MECÂNICA - PRESENCIAL - INTEGRADO - JUN. 2016 / DEZ. 2020</t>
  </si>
  <si>
    <t>TÉCNICO EM SANEAMENTO - PRESENCIAL - SUBSEQUENTE - JUN. 2016 / DEZ. 2018</t>
  </si>
  <si>
    <t>TÉCNICO EM AQUICULTURA - PRESENCIAL - SUBSEQUENTE - JUN. 2016 / DEZ. 2018</t>
  </si>
  <si>
    <t>TÉCNICO EM PESCA - PRESENCIAL - SUBSEQUENTE - JUN. 2016 / DEZ. 2018</t>
  </si>
  <si>
    <t>TÉCNICO EM EDIFICAÇÕES - PRESENCIAL - SUBSEQUENTE - JUN. 2016 / DEZ. 2018</t>
  </si>
  <si>
    <t>TÉCNICO EM SEGURANÇA DO TRABALHO - PRESENCIAL - SUBSEQUENTE - JUN. 2016 / DEZ. 2018</t>
  </si>
  <si>
    <t>BIOLOGIA - PRESENCIAL - JUN. 2016 / AGO. 2020</t>
  </si>
  <si>
    <t>TÉCNICO EM INFORMÁTICA - PRESENCIAL - INTEGRADO - JUN. 2017 / JUN. 2020</t>
  </si>
  <si>
    <t>TÉCNICO EM INFORMÁTICA - PRESENCIAL - SUBSEQUENTE - JUN. 2017 / DEZ. 2018</t>
  </si>
  <si>
    <t>TÉCNICO EM AQUICULTURA - PRESENCIAL - SUBSEQUENTE - JUN. 2017 / DEZ. 2018</t>
  </si>
  <si>
    <t>TÉCNICO EM EDIFICAÇÕES - PRESENCIAL - SUBSEQUENTE - JUN. 2017 / DEZ. 2018</t>
  </si>
  <si>
    <t>TÉCNICO EM PESCA - PRESENCIAL - SUBSEQUENTE - JUN. 2017 / DEZ. 2018</t>
  </si>
  <si>
    <t>TÉCNICO EM MEIO AMBIENTE - PRESENCIAL - INTEGRADO - JUN. 2017 / JUN. 2020</t>
  </si>
  <si>
    <t>TÉCNICO EM SEGURANÇA DO TRABALHO - PRESENCIAL - SUBSEQUENTE - JUN. 2017 / DEZ. 2018</t>
  </si>
  <si>
    <t>TÉCNICO EM EDIFICAÇÕES - PRESENCIAL - INTEGRADO - JUN. 2017 / JUN. 2020</t>
  </si>
  <si>
    <t>TÉCNICO EM SANEAMENTO - PRESENCIAL - SUBSEQUENTE - JUN. 2017 / DEZ. 2018</t>
  </si>
  <si>
    <t>TÉCNICO EM MECÂNICA - PRESENCIAL - INTEGRADO - JUN. 2017 / JUN. 2020</t>
  </si>
  <si>
    <t>BIOLOGIA - PRESENCIAL - JUN. 2017 / JUN. 2021</t>
  </si>
  <si>
    <t>TÉCNICO EM EDIFICAÇÕES - PRESENCIAL - SUBSEQUENTE - TARDE - TURMA - A1481TB - MAR. 2012 / JUL. 2013</t>
  </si>
  <si>
    <t>TÉCNICO EM INFORMÁTICA PARA INTERNET</t>
  </si>
  <si>
    <t>TÉCNICO EM INFORMÁTICA PARA INTERNET - PRESENCIAL - SUBSEQUENTE - TARDE - A1851TB - MAR. 2012 / JUL. 2013</t>
  </si>
  <si>
    <t>TÉCNICO EM EDIFICAÇÕES - PRESENCIAL - SUBSEQUENTE - NOITE - TURMA - A1481NC - MAR. 2012 / JUL. 2013</t>
  </si>
  <si>
    <t>TÉCNICO EM EVENTOS</t>
  </si>
  <si>
    <t>TURISMO, HOSPITALIDADE E LAZER</t>
  </si>
  <si>
    <t>TÉCNICO EM EVENTOS - PRESENCIAL - SUBSEQUENTE - TURMA A1341TB - MAR. 2012 / JUL. 2013</t>
  </si>
  <si>
    <t>TÉCNICO EM REDES DE COMPUTADORES</t>
  </si>
  <si>
    <t>TÉCNICO EM REDES DE COMPUTADORES - PRESENCIAL - SUBSEQUENTE - MAR. 2012 / JUL. 2013</t>
  </si>
  <si>
    <t>EDUCAÇÃO DO CAMPO - PRESENCIAL - TURMA A3271XB - FEV. 2011 / DEZ. 2014</t>
  </si>
  <si>
    <t>EDUCAÇÃO DO CAMPO - PRESENCIAL - JUL. 2009 / JUL. 2013 - TURMA - A3278MA</t>
  </si>
  <si>
    <t>TÉCNICO EM INFORMÁTICA - PRESENCIAL - SUBSEQUENTE - FEV. 2013 / JUL. 2014 - TURMA A1841NC</t>
  </si>
  <si>
    <t>TÉCNICO EM EDIFICAÇÕES - PRESENCIAL - SUBSEQUENTE - FEV. 2013 / AGO. 2014 - A1481MD</t>
  </si>
  <si>
    <t>TÉCNICO EM ALIMENTAÇÃO ESCOLAR - A DISTÂNCIA - SUBSEQUENTE - OUT. 2014 / NOV. 2016 - INSTITUTO FEDERAL DE EDUCAÇÃO, CIÊNCIA E TECNOLOGIA DO PARÁ-IFPA-CAMPUS-ALTAMIRA</t>
  </si>
  <si>
    <t>TÉCNICO EM MULTIMEIOS DIDÁTICOS - A DISTÂNCIA - SUBSEQUENTE - OUT. 2014 / NOV. 2016 - INSTITUTO FEDERAL DE EDUCAÇÃO, CIÊNCIA E TECNOLOGIA DO PARÁ-IFPA-CAMPUS-ALTAMIRA</t>
  </si>
  <si>
    <t>TÉCNICO EM SECRETARIA ESCOLAR</t>
  </si>
  <si>
    <t>TÉCNICO EM SECRETARIA ESCOLAR - A DISTÂNCIA - SUBSEQUENTE - OUT. 2014 / NOV. 2016 - INSTITUTO FEDERAL DE EDUCAÇÃO, CIÊNCIA E TECNOLOGIA DO PARÁ-IFPA-CAMPUS-ALTAMIRA</t>
  </si>
  <si>
    <t>TÉCNICO EM EDIFICAÇÕES-PRESENCIAL-SUBSEQUENTE-TURMA A1481ME-MARÇO 2015/DEZEMBRO 2016</t>
  </si>
  <si>
    <t>TÉCNICO EM EDIFICAÇÕES-PRESENCIAL-SUBSEQUENTE-TURMA A1481NF-MARÇO DE 2015/DEZEMBRO DE 2016</t>
  </si>
  <si>
    <t>TÉCNICO EM INFORMÁTICA-PRESENCIAL-SUBSEQUENTE-TURMA A1841ND-MARÇO DE 2015/DEZEMBRO DE 2016</t>
  </si>
  <si>
    <t>TÉCNICO EM INFORMÁTICA-PRESENCIAL-SUBSEQUENTE-TURMA A1841TF-JUN. 2015 / DEZ. 2016</t>
  </si>
  <si>
    <t>TÉCNICO EM INFORMÁTICA - PRESENCIAL - SUBSEQUENTE - A1841MG - MAR. 2016 / JUN. 2017</t>
  </si>
  <si>
    <t>TÉCNICO EM EDIFICAÇÕES - PRESENCIAL - SUBSEQUENTE - A1481TG - MAR. 2016 / JUN. 2017</t>
  </si>
  <si>
    <t>FORMAÇÃO INICIAL</t>
  </si>
  <si>
    <t>AUXILIAR ADMINISTRATIVO</t>
  </si>
  <si>
    <t>GESTÃO E NEGÓCIOS</t>
  </si>
  <si>
    <t>AUXILIAR ADMINISTRATIVO - PRESENCIAL - CONCOMITANTE - AGO. 2016 / DEZ. 2016</t>
  </si>
  <si>
    <t>CADISTA PARA CONSTRUÇÃO CIVIL</t>
  </si>
  <si>
    <t>CADISTA PARA CONSTRUÇÃO CIVIL - PRESENCIAL - CONCOMITANTE - AGO. 2016 / DEZ. 2016</t>
  </si>
  <si>
    <t>INGLÊS BÁSICO</t>
  </si>
  <si>
    <t>INGLÊS BÁSICO - PRESENCIAL - CONCOMITANTE - JUL. 2016 / JUL. 2016</t>
  </si>
  <si>
    <t>ESPANHOL BÁSICO</t>
  </si>
  <si>
    <t>ESPANHOL BÁSICO - PRESENCIAL - CONCOMITANTE - AGO. 2016 / OUT. 2016</t>
  </si>
  <si>
    <t>OPERADOR DE COMPUTADOR</t>
  </si>
  <si>
    <t>OPERADOR DE COMPUTADOR - PRESENCIAL - CONCOMITANTE - AGO. 2016 / DEZ. 2016</t>
  </si>
  <si>
    <t>OPERADOR DE COMPUTADOR - A6161B- PRESENCIAL - CONCOMITANTE - ABR. 2017 / JUL. 2017</t>
  </si>
  <si>
    <t>CADISTA PARA CONSTRUÇÃO CIVIL - A7741B- PRESENCIAL - CONCOMITANTE - ABR. 2017 / JUL. 2017</t>
  </si>
  <si>
    <t>INGLÊS BÁSICO - A7571B - PRESENCIAL - CONCOMITANTE - ABR. 2017 / JUL. 2017</t>
  </si>
  <si>
    <t>MONTADOR E REPARADOR DE COMPUTADOR</t>
  </si>
  <si>
    <t>MONTADOR E REPARADOR DE COMPUTADOR - A6651A- PRESENCIAL - CONCOMITANTE - ABR. 2017 / JUL. 2017</t>
  </si>
  <si>
    <t>TÉCNICO EM SECRETARIA ESCOLAR - A DISTÂNCIA - SUBSEQUENTE - OUT. 2014 / NOV. 2016 - POLO DE EDUCAÇÃO A DISTANCIA CAMPUS ANANINDEUA</t>
  </si>
  <si>
    <t>TÉCNICO EM ALIMENTAÇÃO ESCOLAR - A DISTÂNCIA - SUBSEQUENTE - OUT. 2014 / NOV. 2016 - POLO DE EDUCAÇÃO A DISTANCIA CAMPUS ANANINDEUA</t>
  </si>
  <si>
    <t>TÉCNICO EM INFORMÁTICA - PRESENCIAL - SUBSEQUENTE - NOV. 2014 / JUN. 2016</t>
  </si>
  <si>
    <t>TÉCNICO EM SEGURANÇA DO TRABALHO - PRESENCIAL - SUBSEQUENTE - NOV. 2014 / JUN. 2016</t>
  </si>
  <si>
    <t>TÉCNICO EM INFORMÁTICA - PRESENCIAL - SUBSEQUENTE - SET. 2016 / ABR. 2018</t>
  </si>
  <si>
    <t>TÉCNICO EM MEIO AMBIENTE - PRESENCIAL - SUBSEQUENTE - SET. 2016 / OUT. 2017</t>
  </si>
  <si>
    <t>TÉCNICO EM SEGURANÇA DO TRABALHO - PRESENCIAL - SUBSEQUENTE - SET. 2016 / ABR. 2018</t>
  </si>
  <si>
    <t>TÉCNICO EM INFORMÁTICA - PRESENCIAL - SUBSEQUENTE - OUT. 2013 / JUL. 2015</t>
  </si>
  <si>
    <t>TÉCNICO EM INFORMÁTICA - A DISTÂNCIA - SUBSEQUENTE - OUT. 2014 / NOV. 2016 - POLO DE EDUCAÇÃO A DISTANCIA DE VIGIA</t>
  </si>
  <si>
    <t>TÉCNICO EM EVENTOS - PRESENCIAL - SUBSEQUENTE - OUT. 2015 / ABR. 2017</t>
  </si>
  <si>
    <t>TÉCNICO EM INFORMÁTICA - PRESENCIAL - SUBSEQUENTE - OUT. 2015 / OUT. 2017</t>
  </si>
  <si>
    <t>TÉCNICO EM RECURSOS PESQUEIROS</t>
  </si>
  <si>
    <t>TÉCNICO EM RECURSOS PESQUEIROS - PRESENCIAL - SUBSEQUENTE - OUT. 2015 / OUT. 2017</t>
  </si>
  <si>
    <t>TÉCNICO EM INFORMÁTICA - PRESENCIAL - SUBSEQUENTE - SET. 2016 / DEZ. 2018</t>
  </si>
  <si>
    <t>TÉCNICO EM EVENTOS - PRESENCIAL - SUBSEQUENTE - SET. 2016 / JUN. 2018</t>
  </si>
  <si>
    <t>TÉCNICO EM RECURSOS PESQUEIROS - PRESENCIAL - SUBSEQUENTE - ABR. 2017 / OUT. 2019</t>
  </si>
  <si>
    <t>BACHARELADO</t>
  </si>
  <si>
    <t>ENGENHARIA DE CONTROLE E AUTOMAÇÃO</t>
  </si>
  <si>
    <t>ENGENHARIA DE CONTROLE E AUTOMAÇÃO - PRESENCIAL - MAR. 2009 / DEZ. 2013</t>
  </si>
  <si>
    <t>ENGENHARIA DE CONTROLE E AUTOMAÇÃO - PRESENCIAL - MAR. 2010 / DEZ. 2014</t>
  </si>
  <si>
    <t>ENGENHARIA DE MATERIAIS</t>
  </si>
  <si>
    <t>ENGENHARIA DE MATERIAIS - PRESENCIAL - FEV. 2009 / DEZ. 2013</t>
  </si>
  <si>
    <t>ENGENHARIA DE MATERIAIS - PRESENCIAL - FEV. 2010 / DEZ. 2014</t>
  </si>
  <si>
    <t>TÉCNICO EM INFORMÁTICA - PRESENCIAL - INTEGRADO - FEV. 2011 / JUN. 2014</t>
  </si>
  <si>
    <t>TÉCNICO EM ELETRÔNICA</t>
  </si>
  <si>
    <t>TÉCNICO EM ELETRÔNICA - PRESENCIAL - INTEGRADO - FEV. 2011 / JUN. 2014</t>
  </si>
  <si>
    <t>TÉCNICO EM ELETROTÉCNICA</t>
  </si>
  <si>
    <t>TÉCNICO EM ELETROTÉCNICA - PRESENCIAL - INTEGRADO - FEV. 2011 / JUN. 2014</t>
  </si>
  <si>
    <t>TÉCNICO EM DESIGN DE INTERIORES</t>
  </si>
  <si>
    <t>PRODUÇÃO CULTURAL E DESIGN</t>
  </si>
  <si>
    <t>TÉCNICO EM DESIGN DE INTERIORES - PRESENCIAL - INTEGRADO - FEV. 2011 / JUN. 2014</t>
  </si>
  <si>
    <t>TÉCNICO EM EDIFICAÇÕES - PRESENCIAL - INTEGRADO - FEV. 2011 / JUN. 2014</t>
  </si>
  <si>
    <t>TÉCNICO EM MINERAÇÃO</t>
  </si>
  <si>
    <t>TÉCNICO EM MINERAÇÃO - PRESENCIAL - INTEGRADO - FEV. 2011 / JUN. 2014</t>
  </si>
  <si>
    <t>TÉCNICO EM QUÍMICA</t>
  </si>
  <si>
    <t>TÉCNICO EM QUÍMICA - PRESENCIAL - INTEGRADO - FEV. 2011 / JUN. 2014</t>
  </si>
  <si>
    <t>TÉCNICO EM AGRIMENSURA</t>
  </si>
  <si>
    <t>TÉCNICO EM AGRIMENSURA - PRESENCIAL - INTEGRADO - FEV. 2011 / JUN. 2014</t>
  </si>
  <si>
    <t>TÉCNICO EM TELECOMUNICAÇÕES</t>
  </si>
  <si>
    <t>TÉCNICO EM TELECOMUNICAÇÕES - PRESENCIAL - INTEGRADO - FEV. 2011 / JUN. 2014</t>
  </si>
  <si>
    <t>TÉCNICO EM EVENTOS - PRESENCIAL - INTEGRADO - FEV. 2011 / JUN. 2014</t>
  </si>
  <si>
    <t>TÉCNICO EM ESTRADAS</t>
  </si>
  <si>
    <t>TÉCNICO EM ESTRADAS - PRESENCIAL - INTEGRADO - FEV. 2011 / JUN. 2014</t>
  </si>
  <si>
    <t>TÉCNICO EM MECÂNICA - PRESENCIAL - INTEGRADO - FEV. 2011 / JUN. 2014</t>
  </si>
  <si>
    <t>BIOLOGIA - PRESENCIAL - ABR. 2011 / FEV. 2014</t>
  </si>
  <si>
    <t>TECNOLOGIA</t>
  </si>
  <si>
    <t>SISTEMAS DE TELECOMUNICAÇÕES</t>
  </si>
  <si>
    <t>SISTEMAS DE TELECOMUNICAÇÕES - PRESENCIAL - ABR. 2011 / MAR. 2014</t>
  </si>
  <si>
    <t>SANEAMENTO AMBIENTAL</t>
  </si>
  <si>
    <t>SANEAMENTO AMBIENTAL - PRESENCIAL - ABR. 2011 / MAR. 2014</t>
  </si>
  <si>
    <t>ENGENHARIA DE CONTROLE E AUTOMAÇÃO - PRESENCIAL - ABR. 2011 / MAR. 2016</t>
  </si>
  <si>
    <t>ENGENHARIA DE MATERIAIS - PRESENCIAL - ABR. 2011 / MAR. 2016</t>
  </si>
  <si>
    <t>ANÁLISE E DESENVOLVIMENTO DE SISTEMAS</t>
  </si>
  <si>
    <t>ANÁLISE E DESENVOLVIMENTO DE SISTEMAS - PRESENCIAL - ABR. 2011 / FEV. 2014</t>
  </si>
  <si>
    <t>ELETROTÉCNICA INDUSTRIAL</t>
  </si>
  <si>
    <t>ELETROTÉCNICA INDUSTRIAL - PRESENCIAL - ABR. 2011 / FEV. 2014</t>
  </si>
  <si>
    <t>GESTÃO PÚBLICA</t>
  </si>
  <si>
    <t>GESTÃO PÚBLICA - PRESENCIAL - ABR. 2011 / FEV. 2014</t>
  </si>
  <si>
    <t>FÍSICA - PRESENCIAL - ABR. 2011 / FEV. 2014</t>
  </si>
  <si>
    <t>GEOGRAFIA</t>
  </si>
  <si>
    <t>CIÊNCIAS HUMANAS</t>
  </si>
  <si>
    <t>GEOGRAFIA - PRESENCIAL - ABR. 2011 / FEV. 2014</t>
  </si>
  <si>
    <t>LETRAS - LÍNGUA PORTUGUESA</t>
  </si>
  <si>
    <t>LETRAS - LÍNGUA PORTUGUESA - PRESENCIAL - ABR. 2011 / FEV. 2014</t>
  </si>
  <si>
    <t>PEDAGOGIA</t>
  </si>
  <si>
    <t>PEDAGOGIA - PRESENCIAL - ABR. 2011 / FEV. 2014</t>
  </si>
  <si>
    <t>QUÍMICA</t>
  </si>
  <si>
    <t>QUÍMICA - PRESENCIAL - ABR. 2011 / FEV. 2014</t>
  </si>
  <si>
    <t>MATEMÁTICA</t>
  </si>
  <si>
    <t>MATEMÁTICA - PRESENCIAL - ABR. 2011 / FEV. 2014</t>
  </si>
  <si>
    <t>FÍSICA - PRESENCIAL - MAR. 2012 / DEZ. 2014</t>
  </si>
  <si>
    <t>QUÍMICA - PRESENCIAL - MAR. 2012 / DEZ. 2014</t>
  </si>
  <si>
    <t>MATEMÁTICA - PRESENCIAL - MAR. 2012 / DEZ. 2014</t>
  </si>
  <si>
    <t>GEOGRAFIA - PRESENCIAL - MAR. 2012 / DEZ. 2014</t>
  </si>
  <si>
    <t>PEDAGOGIA - PRESENCIAL - MAR. 2012 / DEZ. 2014</t>
  </si>
  <si>
    <t>LETRAS - LÍNGUA PORTUGUESA - PRESENCIAL - MAR. 2012 / DEZ. 2014</t>
  </si>
  <si>
    <t>BIOLOGIA - PRESENCIAL - MAR. 2012 / DEZ. 2014</t>
  </si>
  <si>
    <t>GESTÃO PÚBLICA - PRESENCIAL - MAR. 2012 / DEZ. 2014</t>
  </si>
  <si>
    <t>SANEAMENTO AMBIENTAL - PRESENCIAL - MAR. 2012 / DEZ. 2014</t>
  </si>
  <si>
    <t>SISTEMAS DE TELECOMUNICAÇÕES - PRESENCIAL - MAR. 2012 / DEZ. 2014</t>
  </si>
  <si>
    <t>ENGENHARIA DE MATERIAIS - PRESENCIAL - MAR. 2012 / JUN. 2016</t>
  </si>
  <si>
    <t>ENGENHARIA DE CONTROLE E AUTOMAÇÃO - PRESENCIAL - MAR. 2012 / DEZ. 2016</t>
  </si>
  <si>
    <t>ANÁLISE E DESENVOLVIMENTO DE SISTEMAS - PRESENCIAL - MAR. 2012 / DEZ. 2014</t>
  </si>
  <si>
    <t>ANÁLISE E DESENVOLVIMENTO DE SISTEMAS - PRESENCIAL - NOV. 2012 / JUN. 2015</t>
  </si>
  <si>
    <t>ELETROTÉCNICA INDUSTRIAL - PRESENCIAL - MAR. 2012 / DEZ. 2014</t>
  </si>
  <si>
    <t>TÉCNICO EM AGRIMENSURA - PRESENCIAL - INTEGRADO - MAR. 2012 / JUN. 2015</t>
  </si>
  <si>
    <t>TÉCNICO EM MECÂNICA - PRESENCIAL - INTEGRADO - MAR. 2012 / JUN. 2015</t>
  </si>
  <si>
    <t>TÉCNICO EM INFORMÁTICA - PRESENCIAL - INTEGRADO - MAR. 2012 / JUN. 2015</t>
  </si>
  <si>
    <t>TÉCNICO EM ELETROTÉCNICA - PRESENCIAL - INTEGRADO - MAR. 2012 / JUN. 2015</t>
  </si>
  <si>
    <t>TÉCNICO EM EDIFICAÇÕES - PRESENCIAL - INTEGRADO - MAR. 2012 / JUN. 2015</t>
  </si>
  <si>
    <t>TÉCNICO EM MINERAÇÃO - PRESENCIAL - INTEGRADO - MAR. 2012 / JUN. 2015</t>
  </si>
  <si>
    <t>TÉCNICO EM ESTRADAS - PRESENCIAL - INTEGRADO - MAR. 2012 / JUN. 2015</t>
  </si>
  <si>
    <t>TÉCNICO EM DESIGN DE INTERIORES - PRESENCIAL - INTEGRADO - MAR. 2012 / JUN. 2015</t>
  </si>
  <si>
    <t>TÉCNICO EM TELECOMUNICAÇÕES - PRESENCIAL - INTEGRADO - MAR. 2012 / JUN. 2015</t>
  </si>
  <si>
    <t>TÉCNICO EM ELETRÔNICA - PRESENCIAL - INTEGRADO - MAR. 2012 / JUN. 2015</t>
  </si>
  <si>
    <t>TÉCNICO EM QUÍMICA - PRESENCIAL - INTEGRADO - MAR. 2012 / JUN. 2015</t>
  </si>
  <si>
    <t>TÉCNICO EM INFORMÁTICA - PRESENCIAL - SUBSEQUENTE - MAR. 2012 / FEV. 2014</t>
  </si>
  <si>
    <t>TÉCNICO EM MINERAÇÃO - PRESENCIAL - SUBSEQUENTE - MAR. 2012 / FEV. 2014</t>
  </si>
  <si>
    <t>TÉCNICO EM SANEAMENTO - PRESENCIAL - SUBSEQUENTE - MAR. 2012 / OUT. 2013</t>
  </si>
  <si>
    <t>TÉCNICO EM AQÜICULTURA - PRESENCIAL - SUBSEQUENTE - MAR. 2012 / OUT. 2013</t>
  </si>
  <si>
    <t>TÉCNICO EM TELECOMUNICAÇÕES - PRESENCIAL - SUBSEQUENTE - MAR. 2012 / FEV. 2014</t>
  </si>
  <si>
    <t>TÉCNICO EM AGRIMENSURA - PRESENCIAL - SUBSEQUENTE - MAR. 2012 / OUT. 2014</t>
  </si>
  <si>
    <t>TÉCNICO EM GEODÉSIA E CARTOGRAFIA</t>
  </si>
  <si>
    <t>TÉCNICO EM GEODÉSIA E CARTOGRAFIA - PRESENCIAL - SUBSEQUENTE - MAR. 2012 / OUT. 2014</t>
  </si>
  <si>
    <t>TÉCNICO EM DESIGN DE INTERIORES - PRESENCIAL - SUBSEQUENTE - MAR. 2012 / OUT. 2013</t>
  </si>
  <si>
    <t>TÉCNICO EM METALURGIA - PRESENCIAL - SUBSEQUENTE - MAR. 2012 / FEV. 2014</t>
  </si>
  <si>
    <t>TÉCNICO EM EVENTOS - PRESENCIAL - SUBSEQUENTE - MAR. 2012 / FEV. 2014</t>
  </si>
  <si>
    <t>TÉCNICO EM EDIFICAÇÕES - PRESENCIAL - SUBSEQUENTE - MAR. 2012 / OUT. 2013</t>
  </si>
  <si>
    <t>TÉCNICO EM ESTRADAS - PRESENCIAL - SUBSEQUENTE - MAR. 2012 / OUT. 2013</t>
  </si>
  <si>
    <t>TÉCNICO EM ELETROTÉCNICA - PRESENCIAL - SUBSEQUENTE - MAR. 2012 / FEV. 2014</t>
  </si>
  <si>
    <t>TÉCNICO EM AGRIMENSURA - PRESENCIAL - SUBSEQUENTE - NOV. 2012 / JUN. 2014</t>
  </si>
  <si>
    <t>TÉCNICO EM AQÜICULTURA - PRESENCIAL - SUBSEQUENTE - NOV. 2012 / JUN. 2014</t>
  </si>
  <si>
    <t>TÉCNICO EM DESIGN DE INTERIORES - PRESENCIAL - SUBSEQUENTE - NOV. 2012 / JUN. 2014</t>
  </si>
  <si>
    <t>TÉCNICO EM EDIFICAÇÕES - PRESENCIAL - SUBSEQUENTE - NOV. 2012 / JUN. 2014</t>
  </si>
  <si>
    <t>TÉCNICO EM ELETRÔNICA - PRESENCIAL - SUBSEQUENTE - NOV. 2012 / JUN. 2014</t>
  </si>
  <si>
    <t>TÉCNICO EM ELETROTÉCNICA - PRESENCIAL - SUBSEQUENTE - NOV. 2012 / JUN. 2014</t>
  </si>
  <si>
    <t>TÉCNICO EM ESTRADAS - PRESENCIAL - SUBSEQUENTE - NOV. 2012 / JUN. 2014</t>
  </si>
  <si>
    <t>TÉCNICO EM EVENTOS - PRESENCIAL - SUBSEQUENTE - NOV. 2012 / DEZ. 2014</t>
  </si>
  <si>
    <t>TÉCNICO EM INFORMÁTICA - PRESENCIAL - SUBSEQUENTE - NOV. 2012 / JUN. 2014</t>
  </si>
  <si>
    <t>TÉCNICO EM MECÂNICA - PRESENCIAL - SUBSEQUENTE - NOV. 2012 / JUN. 2014</t>
  </si>
  <si>
    <t>TÉCNICO EM METALURGIA - PRESENCIAL - SUBSEQUENTE - NOV. 2012 / DEZ. 2014</t>
  </si>
  <si>
    <t>TÉCNICO EM MINERAÇÃO - PRESENCIAL - SUBSEQUENTE - NOV. 2012 / JUN. 2014</t>
  </si>
  <si>
    <t>TÉCNICO EM QUÍMICA - PRESENCIAL - SUBSEQUENTE - NOV. 2012 / JUN. 2014</t>
  </si>
  <si>
    <t>TÉCNICO EM SEGURANÇA DO TRABALHO - PRESENCIAL - SUBSEQUENTE - MAR. 2012 / OUT. 2013</t>
  </si>
  <si>
    <t>TÉCNICO EM SEGURANÇA DO TRABALHO - PRESENCIAL - SUBSEQUENTE - MAR. 2012 / FEV. 2014</t>
  </si>
  <si>
    <t>TÉCNICO EM MEIO AMBIENTE - PRESENCIAL - SUBSEQUENTE - MAR. 2012 / OUT. 2013</t>
  </si>
  <si>
    <t>MASSAGISTA</t>
  </si>
  <si>
    <t>AMBIENTE E SAÚDE</t>
  </si>
  <si>
    <t>MASSAGISTA - PRESENCIAL - CONCOMITANTE - NOV. 2013 / FEV. 2014</t>
  </si>
  <si>
    <t>TÉCNICO EM QUÍMICA - PRESENCIAL - INTEGRADO - MAR. 2014 / SET. 2017</t>
  </si>
  <si>
    <t>TÉCNICO EM EDIFICAÇÕES - PRESENCIAL - INTEGRADO - MAR. 2014 / SET. 2017</t>
  </si>
  <si>
    <t>TÉCNICO EM ESTRADAS - PRESENCIAL - INTEGRADO - MAR. 2014 / SET. 2017</t>
  </si>
  <si>
    <t>TÉCNICO EM AGRIMENSURA - PRESENCIAL - INTEGRADO - MAR. 2014 / SET. 2017</t>
  </si>
  <si>
    <t>TÉCNICO EM ELETROTÉCNICA - PRESENCIAL - INTEGRADO - MAR. 2014 / SET. 2017</t>
  </si>
  <si>
    <t>TÉCNICO EM ELETRÔNICA - PRESENCIAL - INTEGRADO - MAR. 2014 / SET. 2017</t>
  </si>
  <si>
    <t>TÉCNICO EM TELECOMUNICAÇÕES - PRESENCIAL - INTEGRADO - MAR. 2014 / SET. 2017</t>
  </si>
  <si>
    <t>TÉCNICO EM MINERAÇÃO - PRESENCIAL - INTEGRADO - MAR. 2014 / SET. 2017</t>
  </si>
  <si>
    <t>TÉCNICO EM EVENTOS - PRESENCIAL - INTEGRADO - MAR. 2014 / SET. 2017</t>
  </si>
  <si>
    <t>TÉCNICO EM DESIGN DE INTERIORES - PRESENCIAL - INTEGRADO - MAR. 2014 / SET. 2017</t>
  </si>
  <si>
    <t>TÉCNICO EM INFORMÁTICA - PRESENCIAL - INTEGRADO - MAR. 2014 / SET. 2017</t>
  </si>
  <si>
    <t>ENGENHARIA DE MATERIAIS - PRESENCIAL - MAR. 2014 / SET. 2018</t>
  </si>
  <si>
    <t>ENGENHARIA DE CONTROLE E AUTOMAÇÃO - PRESENCIAL - MAR. 2014 / MAR. 2019</t>
  </si>
  <si>
    <t>LETRAS - LÍNGUA PORTUGUESA - PRESENCIAL - MAR. 2014 / MAR. 2017</t>
  </si>
  <si>
    <t>GEOGRAFIA - PRESENCIAL - MAR. 2014 / MAR. 2017</t>
  </si>
  <si>
    <t>ENGENHARIA DE MATERIAIS - PRESENCIAL - ABR. 2013 / OUT. 2017.</t>
  </si>
  <si>
    <t>LETRAS - LÍNGUA PORTUGUESA - PRESENCIAL - ABR. 2013 / ABR. 2016</t>
  </si>
  <si>
    <t>PEDAGOGIA - PRESENCIAL - ABR. 2013 / ABR. 2016</t>
  </si>
  <si>
    <t>TÉCNICO EM METALURGIA - PRESENCIAL - SUBSEQUENTE - ABR. 2013 / ABR. 2015</t>
  </si>
  <si>
    <t>TÉCNICO EM ELETRÔNICA - PRESENCIAL - SUBSEQUENTE - ABR. 2013 / ABR. 2015</t>
  </si>
  <si>
    <t>TÉCNICO EM SEGURANÇA DO TRABALHO - PRESENCIAL - SUBSEQUENTE - ABR. 2013 / ABR. 2015</t>
  </si>
  <si>
    <t>TÉCNICO EM EVENTOS - PRESENCIAL - SUBSEQUENTE - ABR. 2013 / OUT. 2014</t>
  </si>
  <si>
    <t>TÉCNICO EM TELECOMUNICAÇÕES - PRESENCIAL - SUBSEQUENTE - ABR. 2013 / ABR. 2015</t>
  </si>
  <si>
    <t>TÉCNICO EM ESTRADAS - PRESENCIAL - SUBSEQUENTE - ABR. 2013 / OUT. 2014</t>
  </si>
  <si>
    <t>TÉCNICO EM EDIFICAÇÕES - PRESENCIAL - SUBSEQUENTE - ABR. 2013 / OUT. 2014</t>
  </si>
  <si>
    <t>TÉCNICO EM SANEAMENTO - PRESENCIAL - SUBSEQUENTE - ABR. 2013 / OUT. 2014</t>
  </si>
  <si>
    <t>TÉCNICO EM PESCA - PRESENCIAL - SUBSEQUENTE - ABR. 2013 / OUT. 2014</t>
  </si>
  <si>
    <t>TÉCNICO EM QUÍMICA - PRESENCIAL - SUBSEQUENTE - ABR. 2013 / ABR. 2015</t>
  </si>
  <si>
    <t>TÉCNICO EM AGRIMENSURA - PRESENCIAL - SUBSEQUENTE - ABR. 2013 / OUT. 2014</t>
  </si>
  <si>
    <t>TÉCNICO EM GEODÉSIA E CARTOGRAFIA - PRESENCIAL - SUBSEQUENTE - ABR. 2013 / OUT. 2014</t>
  </si>
  <si>
    <t>TÉCNICO EM MINERAÇÃO - PRESENCIAL - SUBSEQUENTE - ABR. 2013 / ABR. 2015</t>
  </si>
  <si>
    <t>TÉCNICO EM DESIGN DE INTERIORES - PRESENCIAL - SUBSEQUENTE - ABR. 2013 / OUT. 2014</t>
  </si>
  <si>
    <t>TÉCNICO EM INFORMÁTICA - PRESENCIAL - SUBSEQUENTE - ABR. 2013 / OUT. 2014</t>
  </si>
  <si>
    <t>TÉCNICO EM QUÍMICA - PRESENCIAL - INTEGRADO - ABR. 2013 / OUT. 2016</t>
  </si>
  <si>
    <t>TÉCNICO EM EDIFICAÇÕES - PRESENCIAL - INTEGRADO - ABR. 2013 / OUT. 2016</t>
  </si>
  <si>
    <t>TÉCNICO EM ESTRADAS - PRESENCIAL - INTEGRADO - ABR. 2013 / OUT. 2016</t>
  </si>
  <si>
    <t>TÉCNICO EM AGRIMENSURA - PRESENCIAL - INTEGRADO - ABR. 2013 / OUT. 2016</t>
  </si>
  <si>
    <t>TÉCNICO EM MECÂNICA - PRESENCIAL - INTEGRADO - ABR. 2013 / OUT. 2016</t>
  </si>
  <si>
    <t>TÉCNICO EM ELETROTÉCNICA - PRESENCIAL - INTEGRADO - ABR. 2013 / OUT. 2016</t>
  </si>
  <si>
    <t>TÉCNICO EM ELETRÔNICA - PRESENCIAL - INTEGRADO - ABR. 2013 / OUT. 2016</t>
  </si>
  <si>
    <t>TÉCNICO EM TELECOMUNICAÇÕES - PRESENCIAL - INTEGRADO - ABR. 2013 / OUT. 2016</t>
  </si>
  <si>
    <t>TÉCNICO EM MINERAÇÃO - PRESENCIAL - INTEGRADO - ABR. 2013 / OUT. 2016</t>
  </si>
  <si>
    <t>TÉCNICO EM EVENTOS - PRESENCIAL - INTEGRADO - ABR. 2013 / OUT. 2016</t>
  </si>
  <si>
    <t>TÉCNICO EM DESIGN DE INTERIORES - PRESENCIAL - INTEGRADO - ABR. 2013 / OUT. 2016</t>
  </si>
  <si>
    <t>TÉCNICO EM INFORMÁTICA - PRESENCIAL - INTEGRADO - ABR. 2013 / OUT. 2016</t>
  </si>
  <si>
    <t>SANEAMENTO AMBIENTAL - PRESENCIAL - ABR. 2013 / ABR. 2016</t>
  </si>
  <si>
    <t>SISTEMAS DE TELECOMUNICAÇÕES - PRESENCIAL - ABR. 2013 / ABR. 2016</t>
  </si>
  <si>
    <t>ANÁLISE E DESENVOLVIMENTO DE SISTEMAS - PRESENCIAL - ABR. 2013 / ABR. 2016 - NOTURNO</t>
  </si>
  <si>
    <t>ANÁLISE E DESENVOLVIMENTO DE SISTEMAS - PRESENCIAL - OUT. 2013 / SET. 2016</t>
  </si>
  <si>
    <t>GESTÃO PÚBLICA - PRESENCIAL - ABR. 2013 / OUT. 2015</t>
  </si>
  <si>
    <t>ENGENHARIA DE CONTROLE E AUTOMAÇÃO - PRESENCIAL - ABR. 2013 / ABR. 2018</t>
  </si>
  <si>
    <t>TÉCNICO EM AGENTE COMUNITÁRIO DE SAÚDE</t>
  </si>
  <si>
    <t>TÉCNICO EM AGENTE COMUNITÁRIO DE SAÚDE - PRESENCIAL - SUBSEQUENTE - ABR. 2013 / ABR. 2015</t>
  </si>
  <si>
    <t>PEDAGOGIA - PRESENCIAL - MAR. 2014 / MAR. 2017</t>
  </si>
  <si>
    <t>SANEAMENTO AMBIENTAL - PRESENCIAL - MAR. 2014 / MAR. 2017</t>
  </si>
  <si>
    <t>SISTEMAS DE TELECOMUNICAÇÕES - PRESENCIAL - MAR. 2014 / MAR. 2017</t>
  </si>
  <si>
    <t>ELETROTÉCNICA INDUSTRIAL - PRESENCIAL - MAR. 2014 / MAR. 2017</t>
  </si>
  <si>
    <t>GESTÃO PÚBLICA - PRESENCIAL - MAR. 2014 / SET. 2016</t>
  </si>
  <si>
    <t>ANÁLISE E DESENVOLVIMENTO DE SISTEMAS - PRESENCIAL - MAR. 2014 / MAR. 2017 - NOTURNO</t>
  </si>
  <si>
    <t>ANÁLISE E DESENVOLVIMENTO DE SISTEMAS - PRESENCIAL - JUL. 2014 / JUL. 2017 - VESPERTINO</t>
  </si>
  <si>
    <t>ELETROTÉCNICA INDUSTRIAL - PRESENCIAL - ABR. 2013 / ABR. 2016</t>
  </si>
  <si>
    <t>ESPECIALIZAÇÃO (LATO SENSU)</t>
  </si>
  <si>
    <t>ESPECIALIZAÇÃO EM GESTÃO DA INOVAÇÃO E PROPRIEDADE INTELECTUAL</t>
  </si>
  <si>
    <t>ESPECIALIZAÇÃO EM GESTÃO DA INOVAÇÃO E PROPRIEDADE INTELECTUAL - PRESENCIAL - ABR. 2013 / ABR. 2014</t>
  </si>
  <si>
    <t>GEOGRAFIA - PRESENCIAL - ABR. 2013 / ABR. 2016</t>
  </si>
  <si>
    <t>EDUCAÇÃO PARA RELAÇÕES ÉTNICO-RACIAIS</t>
  </si>
  <si>
    <t>EDUCAÇÃO PARA RELAÇÕES ÉTNICO-RACIAIS - PRESENCIAL - OUT. 2013 / ABR. 2014</t>
  </si>
  <si>
    <t>TÉCNICO EM SANEAMENTO - A DISTÂNCIA - SUBSEQUENTE - MAR. 2012 / DEZ. 2014</t>
  </si>
  <si>
    <t>MATEMÁTICA - PRESENCIAL - MAR. 2014 / MAR. 2017</t>
  </si>
  <si>
    <t>QUÍMICA - PRESENCIAL - MAR. 2014 / MAR. 2017</t>
  </si>
  <si>
    <t>MATEMÁTICA - PRESENCIAL - ABR. 2013 / ABR. 2016</t>
  </si>
  <si>
    <t>QUÍMICA - PRESENCIAL - ABR. 2013 / ABR. 2016</t>
  </si>
  <si>
    <t>TÉCNICO EM METALURGIA - PRESENCIAL - SUBSEQUENTE - NOV. 2014 / OUT. 2016</t>
  </si>
  <si>
    <t>TÉCNICO EM ELETRÔNICA - PRESENCIAL - SUBSEQUENTE - NOV. 2014 / OUT. 2016</t>
  </si>
  <si>
    <t>TÉCNICO EM ELETROTÉCNICA - PRESENCIAL - SUBSEQUENTE - NOV. 2014 / OUT. 2016</t>
  </si>
  <si>
    <t>TÉCNICO EM EVENTOS - PRESENCIAL - SUBSEQUENTE - NOV. 2014 / MAI. 2016</t>
  </si>
  <si>
    <t>TÉCNICO EM TELECOMUNICAÇÕES - PRESENCIAL - SUBSEQUENTE - NOV. 2014 / OUT. 2016</t>
  </si>
  <si>
    <t>TÉCNICO EM EDIFICAÇÕES - PRESENCIAL - SUBSEQUENTE - NOV. 2014 / MAI. 2016</t>
  </si>
  <si>
    <t>TÉCNICO EM SANEAMENTO - PRESENCIAL - SUBSEQUENTE - NOV. 2014 / MAI. 2016</t>
  </si>
  <si>
    <t>TÉCNICO EM AQÜICULTURA - PRESENCIAL - SUBSEQUENTE - NOV. 2014 / MAI. 2016</t>
  </si>
  <si>
    <t>TÉCNICO EM QUÍMICA - PRESENCIAL - SUBSEQUENTE - NOV. 2014 / OUT. 2016</t>
  </si>
  <si>
    <t>TÉCNICO EM AGRIMENSURA - PRESENCIAL - SUBSEQUENTE - NOV. 2014 / MAI. 2016</t>
  </si>
  <si>
    <t>TÉCNICO EM GEODÉSIA E CARTOGRAFIA - PRESENCIAL - SUBSEQUENTE - NOV. 2014 / MAI. 2016</t>
  </si>
  <si>
    <t>TÉCNICO EM MINERAÇÃO - PRESENCIAL - SUBSEQUENTE - NOV. 2014 / OUT. 2016</t>
  </si>
  <si>
    <t>TÉCNICO EM DESIGN DE INTERIORES - PRESENCIAL - SUBSEQUENTE - NOV. 2014 / MAI. 2016</t>
  </si>
  <si>
    <t>TÉCNICO EM INFORMÁTICA - PRESENCIAL - SUBSEQUENTE - NOV. 2014 / MAI. 2016</t>
  </si>
  <si>
    <t>TÉCNICO EM AGENTE COMUNITÁRIO DE SAÚDE - PRESENCIAL - SUBSEQUENTE - NOV. 2014 / OUT. 2016</t>
  </si>
  <si>
    <t>TÉCNICO EM ESTRADAS - PRESENCIAL - SUBSEQUENTE - NOV. 2014 / MAI. 2016</t>
  </si>
  <si>
    <t>TÉCNICO EM GEODÉSIA E CARTOGRAFIA - PRESENCIAL - SUBSEQUENTE - NOV. 2012 / JUN. 2014</t>
  </si>
  <si>
    <t>TÉCNICO EM MULTIMEIOS DIDÁTICOS - A DISTÂNCIA - SUBSEQUENTE - OUT. 2014 / NOV. 2016</t>
  </si>
  <si>
    <t>TÉCNICO EM SECRETARIA ESCOLAR - A DISTÂNCIA - SUBSEQUENTE - OUT. 2014 / NOV. 2016</t>
  </si>
  <si>
    <t>TÉCNICO EM INFORMÁTICA - A DISTÂNCIA - SUBSEQUENTE - OUT. 2014 / NOV. 2016</t>
  </si>
  <si>
    <t>GESTÃO PÚBLICA - PRESENCIAL - AGO. 2011 / DEZ. 2014</t>
  </si>
  <si>
    <t>TÉCNICO EM ALIMENTAÇÃO ESCOLAR - A DISTÂNCIA - SUBSEQUENTE - OUT. 2014 / NOV. 2016</t>
  </si>
  <si>
    <t>ANÁLISE E DESENVOLVIMENTO DE SISTEMAS - PRESENCIAL - AGO. 2011 / JUL. 2014</t>
  </si>
  <si>
    <t>TÉCNICO EM METALURGIA - A DISTÂNCIA - SUBSEQUENTE - AGO. 2011 / JUL. 2013 - POLO DE EDUCAÇÃO A DISTANCIA E-TEC BRASIL IFPA - POLO ANANINDEUA</t>
  </si>
  <si>
    <t>EDUCAÇÃO PARA RELAÇÕES ÉTNICO-RACIAIS, HISTÓRIA E CULTURA AFRO-BRASILEIRA E AFRICANA</t>
  </si>
  <si>
    <t>EDUCAÇÃO PARA RELAÇÕES ÉTNICO-RACIAIS, HISTÓRIA E CULTURA AFRO-BRASILEIRA E AFRICANA - A DISTÂNCIA - AGO. 2014 / MAI. 2016</t>
  </si>
  <si>
    <t>GESTÃO PÚBLICA - PRESENCIAL - ABR. 2015 / OUT. 2017</t>
  </si>
  <si>
    <t>SANEAMENTO AMBIENTAL - PRESENCIAL - ABR. 2015 / ABR. 2018</t>
  </si>
  <si>
    <t>SISTEMAS DE TELECOMUNICAÇÕES - PRESENCIAL - ABR. 2015 / ABR. 2018</t>
  </si>
  <si>
    <t>ELETROTÉCNICA INDUSTRIAL - PRESENCIAL - ABR. 2015 / ABR. 2018</t>
  </si>
  <si>
    <t>LETRAS - LÍNGUA PORTUGUESA - PRESENCIAL - ABR. 2015 / ABR. 2018</t>
  </si>
  <si>
    <t>ANÁLISE E DESENVOLVIMENTO DE SISTEMAS - PRESENCIAL - ABR. 2015 / ABR. 2018 - NOTURNO</t>
  </si>
  <si>
    <t>ANÁLISE E DESENVOLVIMENTO DE SISTEMAS - PRESENCIAL - NOV. 2015 / OUT. 2018 - VESPERTINO</t>
  </si>
  <si>
    <t>GEOGRAFIA - PRESENCIAL - ABR. 2015 / ABR. 2018</t>
  </si>
  <si>
    <t>MATEMÁTICA - PRESENCIAL - ABR. 2015 / ABR. 2018</t>
  </si>
  <si>
    <t>PEDAGOGIA - PRESENCIAL - ABR. 2015 / ABR. 2018</t>
  </si>
  <si>
    <t>QUÍMICA - PRESENCIAL - ABR. 2015 / ABR. 2018</t>
  </si>
  <si>
    <t>ENGENHARIA DE CONTROLE E AUTOMAÇÃO - PRESENCIAL - ABR. 2015 / ABR. 2020</t>
  </si>
  <si>
    <t>ENGENHARIA DE MATERIAIS - PRESENCIAL - ABR. 2015 / OUT. 2019</t>
  </si>
  <si>
    <t>TÉCNICO EM AGRIMENSURA - PRESENCIAL - SUBSEQUENTE - MAI. 2015 / OUT. 2016</t>
  </si>
  <si>
    <t>TÉCNICO EM QUÍMICA - PRESENCIAL - SUBSEQUENTE - MAI. 2015 / OUT. 2016</t>
  </si>
  <si>
    <t>TÉCNICO EM INFORMÁTICA - PRESENCIAL - SUBSEQUENTE - MAI. 2015 / OUT. 2016</t>
  </si>
  <si>
    <t>TÉCNICO EM EDIFICAÇÕES - PRESENCIAL - SUBSEQUENTE - MAI. 2015 / OUT. 2016</t>
  </si>
  <si>
    <t>TÉCNICO EM MINERAÇÃO - PRESENCIAL - SUBSEQUENTE - MAI. 2015 / OUT. 2016</t>
  </si>
  <si>
    <t>TÉCNICO EM EVENTOS - PRESENCIAL - SUBSEQUENTE - MAI. 2015 / OUT. 2016</t>
  </si>
  <si>
    <t>TÉCNICO EM GEODÉSIA E CARTOGRAFIA - PRESENCIAL - SUBSEQUENTE - MAI. 2015 / OUT. 2016</t>
  </si>
  <si>
    <t>TÉCNICO EM AQÜICULTURA - PRESENCIAL - SUBSEQUENTE - MAI. 2015 / OUT. 2016</t>
  </si>
  <si>
    <t>TÉCNICO EM SEGURANÇA DO TRABALHO - PRESENCIAL - SUBSEQUENTE - MAI. 2015 / OUT. 2016</t>
  </si>
  <si>
    <t>TÉCNICO EM DESIGN DE INTERIORES - PRESENCIAL - SUBSEQUENTE - MAI. 2015 / OUT. 2016</t>
  </si>
  <si>
    <t>TÉCNICO EM SANEAMENTO - PRESENCIAL - SUBSEQUENTE - MAI. 2015 / OUT. 2016</t>
  </si>
  <si>
    <t>TÉCNICO EM AGENTE COMUNITÁRIO DE SAÚDE - PRESENCIAL - SUBSEQUENTE - MAI. 2015 / OUT. 2016</t>
  </si>
  <si>
    <t>TÉCNICO EM ELETRÔNICA - PRESENCIAL - SUBSEQUENTE - MAI. 2015 / OUT. 2016</t>
  </si>
  <si>
    <t>TÉCNICO EM METALURGIA - PRESENCIAL - SUBSEQUENTE - MAI. 2015 / OUT. 2016</t>
  </si>
  <si>
    <t>TÉCNICO EM EVENTOS - PRESENCIAL - INTEGRADO - MAI. 2015 / OUT. 2019</t>
  </si>
  <si>
    <t>TÉCNICO EM QUÍMICA - PRESENCIAL - INTEGRADO - MAI. 2015 / OUT. 2019</t>
  </si>
  <si>
    <t>TÉCNICO EM ELETRÔNICA - PRESENCIAL - INTEGRADO - MAI. 2015 / OUT. 2019</t>
  </si>
  <si>
    <t>TÉCNICO EM MECÂNICA - PRESENCIAL - INTEGRADO - MAI. 2015 / OUT. 2019</t>
  </si>
  <si>
    <t>TÉCNICO EM INFORMÁTICA - PRESENCIAL - INTEGRADO - MAI. 2015 / OUT. 2019</t>
  </si>
  <si>
    <t>TÉCNICO EM EDIFICAÇÕES - PRESENCIAL - INTEGRADO - MAI. 2015 / OUT. 2019</t>
  </si>
  <si>
    <t>TÉCNICO EM AGRIMENSURA - PRESENCIAL - INTEGRADO - MAI. 2015 / OUT. 2019</t>
  </si>
  <si>
    <t>TÉCNICO EM ELETROTÉCNICA - PRESENCIAL - INTEGRADO - MAI. 2015 / OUT. 2019</t>
  </si>
  <si>
    <t>TÉCNICO EM ESTRADAS - PRESENCIAL - INTEGRADO - MAI. 2015 / OUT. 2019</t>
  </si>
  <si>
    <t>TÉCNICO EM DESIGN DE INTERIORES - PRESENCIAL - INTEGRADO - MAI. 2015 / OUT. 2019</t>
  </si>
  <si>
    <t>TÉCNICO EM TELECOMUNICAÇÕES - PRESENCIAL - INTEGRADO - MAI. 2015 / OUT. 2019</t>
  </si>
  <si>
    <t>TÉCNICO EM INFORMÁTICA - PRESENCIAL - INTEGRADO - JUN. 2016 / JUN. 2020</t>
  </si>
  <si>
    <t>TÉCNICO EM EVENTOS - PRESENCIAL - INTEGRADO - JUN. 2016 / JUN. 2020</t>
  </si>
  <si>
    <t>TÉCNICO EM TELECOMUNICAÇÕES - PRESENCIAL - INTEGRADO - JUN. 2016 / JUN. 2020</t>
  </si>
  <si>
    <t>TÉCNICO EM ESTRADAS - PRESENCIAL - INTEGRADO - JUN. 2016 / JUN. 2020</t>
  </si>
  <si>
    <t>TÉCNICO EM MECÂNICA - PRESENCIAL - INTEGRADO - JUN. 2016 / JUN. 2020</t>
  </si>
  <si>
    <t>TÉCNICO EM AGRIMENSURA - PRESENCIAL - INTEGRADO - JUN. 2016 / JUN. 2020</t>
  </si>
  <si>
    <t>TÉCNICO EM EDIFICAÇÕES - PRESENCIAL - INTEGRADO - JUN. 2016 / JUN. 2020</t>
  </si>
  <si>
    <t>TÉCNICO EM ELETRÔNICA - PRESENCIAL - INTEGRADO - JUN. 2016 / JUN. 2020</t>
  </si>
  <si>
    <t>TÉCNICO EM QUÍMICA - PRESENCIAL - INTEGRADO - JUN. 2016 / JUN. 2020</t>
  </si>
  <si>
    <t>TÉCNICO EM ELETRÔNICA - PRESENCIAL - SUBSEQUENTE - JUN. 2016 / JUN. 2018</t>
  </si>
  <si>
    <t>TÉCNICO EM AGENTE COMUNITÁRIO DE SAÚDE - PRESENCIAL - SUBSEQUENTE - JUN. 2016 / JUN. 2018</t>
  </si>
  <si>
    <t>TÉCNICO EM MECÂNICA - PRESENCIAL - SUBSEQUENTE - JUN. 2016 / JUN. 2018</t>
  </si>
  <si>
    <t>TÉCNICO EM METALURGIA - PRESENCIAL - SUBSEQUENTE - JUN. 2016 / JUN. 2018</t>
  </si>
  <si>
    <t>TÉCNICO EM MINERAÇÃO - PRESENCIAL - SUBSEQUENTE - JUN. 2016 / JUN. 2018</t>
  </si>
  <si>
    <t>TÉCNICO EM QUÍMICA - PRESENCIAL - SUBSEQUENTE - JUN. 2016 / JUN. 2018</t>
  </si>
  <si>
    <t>TÉCNICO EM SEGURANÇA DO TRABALHO - PRESENCIAL - SUBSEQUENTE - JUN. 2016 / JUN. 2018</t>
  </si>
  <si>
    <t>TÉCNICO EM TELECOMUNICAÇÕES - PRESENCIAL - SUBSEQUENTE - JUN. 2016 / JUN. 2018</t>
  </si>
  <si>
    <t>TÉCNICO EM AGRIMENSURA - PRESENCIAL - SUBSEQUENTE - JUN. 2016 / DEZ. 2017</t>
  </si>
  <si>
    <t>TÉCNICO EM EDIFICAÇÕES - PRESENCIAL - SUBSEQUENTE - JUN. 2016 / DEZ. 2017</t>
  </si>
  <si>
    <t>TÉCNICO EM ESTRADAS - PRESENCIAL - SUBSEQUENTE - JUN. 2016 / DEZ. 2017</t>
  </si>
  <si>
    <t>TÉCNICO EM EVENTOS - PRESENCIAL - SUBSEQUENTE - JUN. 2016 / DEZ. 2017</t>
  </si>
  <si>
    <t>TÉCNICO EM GEODÉSIA E CARTOGRAFIA - PRESENCIAL - SUBSEQUENTE - JUN. 2016 / DEZ. 2017</t>
  </si>
  <si>
    <t>TÉCNICO EM PESCA - PRESENCIAL - SUBSEQUENTE - JUN. 2016 / DEZ. 2017</t>
  </si>
  <si>
    <t>TÉCNICO EM SANEAMENTO - PRESENCIAL - SUBSEQUENTE - JUN. 2016 / DEZ. 2017</t>
  </si>
  <si>
    <t>TÉCNICO EM DESIGN DE INTERIORES - PRESENCIAL - SUBSEQUENTE - JUN. 2016 / DEZ. 2017</t>
  </si>
  <si>
    <t>TÉCNICO EM ELETROTÉCNICA - PRESENCIAL - INTEGRADO - JUN. 2016 / JUN. 2020</t>
  </si>
  <si>
    <t>ENGENHARIA DE CONTROLE E AUTOMAÇÃO - PRESENCIAL - JUN. 2016 / JUN. 2021</t>
  </si>
  <si>
    <t>ENGENHARIA DE MATERIAIS - PRESENCIAL - JUN. 2016 / DEZ. 2020</t>
  </si>
  <si>
    <t>SANEAMENTO AMBIENTAL - PRESENCIAL - JUN. 2016 / JUN. 2019</t>
  </si>
  <si>
    <t>SISTEMAS DE TELECOMUNICAÇÕES - PRESENCIAL - JUN. 2016 / JUN. 2019</t>
  </si>
  <si>
    <t>ELETROTÉCNICA INDUSTRIAL - PRESENCIAL - JUN. 2016 / JUN. 2019</t>
  </si>
  <si>
    <t>GESTÃO PÚBLICA - PRESENCIAL - JUN. 2016 / DEZ. 2018</t>
  </si>
  <si>
    <t>LETRAS - LÍNGUA PORTUGUESA - PRESENCIAL - JUN. 2016 / JUN. 2019</t>
  </si>
  <si>
    <t>PEDAGOGIA - PRESENCIAL - JUN. 2016 / JUN. 2019</t>
  </si>
  <si>
    <t>GEOGRAFIA - PRESENCIAL - JUN. 2016 / JUN. 2019</t>
  </si>
  <si>
    <t>FÍSICA - PRESENCIAL - JUN. 2016 / JUN. 2020</t>
  </si>
  <si>
    <t>BIOLOGIA - PRESENCIAL - JUN. 2016 / JUN. 2020</t>
  </si>
  <si>
    <t>MATEMÁTICA - PRESENCIAL - JUN. 2016 / JUN. 2019</t>
  </si>
  <si>
    <t>QUÍMICA - PRESENCIAL - JUN. 2016 / JUN. 2019</t>
  </si>
  <si>
    <t>ANÁLISE E DESENVOLVIMENTO DE SISTEMAS - PRESENCIAL - JUN. 2016 / JUN. 2019</t>
  </si>
  <si>
    <t>ESPECIALIZAÇÃO EM REDES ELÉTRICAS INTELIGENTES - SMART GRID TECHONOLOGIES</t>
  </si>
  <si>
    <t>ESPECIALIZAÇÃO EM REDES ELÉTRICAS INTELIGENTES - SMART GRID TECHONOLOGIES - PRESENCIAL - FEV. 2017 / JUN. 2018</t>
  </si>
  <si>
    <t>MESTRADO PROFISSIONAL</t>
  </si>
  <si>
    <t>PROGRAMA DE PÓS-GRADUAÇÃO EM ENGENHARIA DE MATERIAIS</t>
  </si>
  <si>
    <t>PROGRAMA DE PÓS-GRADUAÇÃO EM ENGENHARIA DE MATERIAIS - PRESENCIAL - AGO. 2016 / JUL. 2018</t>
  </si>
  <si>
    <t>TÉCNICO EM AGRIMENSURA - PRESENCIAL - SUBSEQUENTE - JAN. 2017 / JUL. 2018</t>
  </si>
  <si>
    <t>TÉCNICO EM ELETRÔNICA - PRESENCIAL - SUBSEQUENTE - JAN. 2017 / JAN. 2019</t>
  </si>
  <si>
    <t>TÉCNICO EM GEODÉSIA E CARTOGRAFIA - PRESENCIAL - SUBSEQUENTE - JAN. 2017 / JUL. 2018</t>
  </si>
  <si>
    <t>TÉCNICO EM METALURGIA - PRESENCIAL - SUBSEQUENTE - JAN. 2017 / JAN. 2019</t>
  </si>
  <si>
    <t>TÉCNICO EM QUÍMICA - PRESENCIAL - SUBSEQUENTE - JAN. 2017 / JAN. 2019</t>
  </si>
  <si>
    <t>TÉCNICO EM SANEAMENTO - PRESENCIAL - SUBSEQUENTE - JAN. 2017 / JUL. 2018</t>
  </si>
  <si>
    <t>TÉCNICO EM TELECOMUNICAÇÕES - PRESENCIAL - SUBSEQUENTE - JAN. 2017 / JAN. 2019</t>
  </si>
  <si>
    <t>TÉCNICO EM AQUICULTURA - PRESENCIAL - SUBSEQUENTE - JAN. 2017 / JUL. 2018</t>
  </si>
  <si>
    <t>EDUCAÇÃO PARA RELAÇÕES ÉTNICO-RACIAIS - PRESENCIAL - DEZ. 2015 / OUT. 2016</t>
  </si>
  <si>
    <t>TÉCNICO EM DESIGN DE INTERIORES - PRESENCIAL - SUBSEQUENTE - JAN. 2017 / JUL. 2018</t>
  </si>
  <si>
    <t>TÉCNICO EM EDIFICAÇÕES - PRESENCIAL - SUBSEQUENTE - JAN. 2017 / JUL. 2018</t>
  </si>
  <si>
    <t>TÉCNICO EM ESTRADAS - PRESENCIAL - SUBSEQUENTE - JAN. 2017 / JUL. 2018</t>
  </si>
  <si>
    <t>CURSO DE PÓS-GRADUAÇÃO EM INFORMÁTICA À EDUCAÇÃO</t>
  </si>
  <si>
    <t>CURSO DE PÓS-GRADUAÇÃO EM INFORMÁTICA À EDUCAÇÃO - PRESENCIAL - FEV. 2017 / DEZ. 2017</t>
  </si>
  <si>
    <t>ANÁLISE E DESENVOLVIMENTO DE SISTEMAS - PRESENCIAL - JAN. 2017 / JAN. 2020</t>
  </si>
  <si>
    <t>TÉCNICO EM ELETROTÉCNICA - PRESENCIAL - SUBSEQUENTE - JAN. 2017 / JAN. 2019</t>
  </si>
  <si>
    <t>ESPECIALIZAÇÃO EM DOCÊNCIA PARA A EDUCAÇÃO PROFISSIONAL, CIENTÍFICA E TECNOLÓGICA</t>
  </si>
  <si>
    <t>ESPECIALIZAÇÃO EM DOCÊNCIA PARA A EDUCAÇÃO PROFISSIONAL, CIENTÍFICA E TECNOLÓGICA - PRESENCIAL - MAR. 2017 / DEZ. 2017</t>
  </si>
  <si>
    <t>ANÁLISE E DESENVOLVIMENTO DE SISTEMAS - PRESENCIAL - MAI. 2017 / DEZ. 2020</t>
  </si>
  <si>
    <t>ENGENHARIA DE CONTROLE E AUTOMAÇÃO - PRESENCIAL - MAI. 2017 / DEZ. 2022</t>
  </si>
  <si>
    <t>FÍSICA - PRESENCIAL - MAI. 2017 / DEZ. 2021</t>
  </si>
  <si>
    <t>GEOGRAFIA - PRESENCIAL - MAI. 2017 / DEZ. 2020</t>
  </si>
  <si>
    <t>QUÍMICA - PRESENCIAL - MAI. 2017 / DEZ. 2020</t>
  </si>
  <si>
    <t>SANEAMENTO AMBIENTAL - PRESENCIAL - MAI. 2017 / DEZ. 2020</t>
  </si>
  <si>
    <t>SISTEMAS DE TELECOMUNICAÇÕES - PRESENCIAL - MAI. 2017 / DEZ. 2020</t>
  </si>
  <si>
    <t>GESTÃO PÚBLICA - PRESENCIAL - MAI. 2017 / JUN. 2020</t>
  </si>
  <si>
    <t>MATEMÁTICA - PRESENCIAL - MAI. 2017 / DEZ. 2020</t>
  </si>
  <si>
    <t>ELETROTÉCNICA INDUSTRIAL - PRESENCIAL - MAI. 2017 / DEZ. 2020</t>
  </si>
  <si>
    <t>LETRAS - LÍNGUA PORTUGUESA - PRESENCIAL - MAI. 2017 / DEZ. 2021</t>
  </si>
  <si>
    <t>BIOLOGIA - PRESENCIAL - MAI. 2017 / DEZ. 2021</t>
  </si>
  <si>
    <t>ENGENHARIA DE MATERIAIS - PRESENCIAL - MAI. 2017 / DEZ. 2022</t>
  </si>
  <si>
    <t>TÉCNICO EM EDIFICAÇÕES - PRESENCIAL - INTEGRADO - MAI. 2017 / DEZ. 2020</t>
  </si>
  <si>
    <t>TÉCNICO EM MECÂNICA - PRESENCIAL - INTEGRADO - MAI. 2017 / DEZ. 2020</t>
  </si>
  <si>
    <t>TÉCNICO EM TELECOMUNICAÇÕES - PRESENCIAL - INTEGRADO - MAI. 2017 / DEZ. 2020</t>
  </si>
  <si>
    <t>TÉCNICO EM AGRIMENSURA - PRESENCIAL - INTEGRADO - MAI. 2017 / JUN. 2021</t>
  </si>
  <si>
    <t>TÉCNICO EM ELETROTÉCNICA - PRESENCIAL - INTEGRADO - MAI. 2017 / JUN. 2020</t>
  </si>
  <si>
    <t>TÉCNICO EM EVENTOS - PRESENCIAL - INTEGRADO - MAI. 2017 / DEZ. 2020</t>
  </si>
  <si>
    <t>TÉCNICO EM ELETRÔNICA - PRESENCIAL - INTEGRADO - MAI. 2017 / DEZ. 2020</t>
  </si>
  <si>
    <t>TÉCNICO EM QUÍMICA - PRESENCIAL - INTEGRADO - MAI. 2017 / DEZ. 2020</t>
  </si>
  <si>
    <t>TÉCNICO EM METALURGIA - PRESENCIAL - SUBSEQUENTE - MAI. 2017 / DEZ. 2019</t>
  </si>
  <si>
    <t>TÉCNICO EM GEODÉSIA E CARTOGRAFIA - PRESENCIAL - SUBSEQUENTE - MAI. 2017 / JUN. 2019</t>
  </si>
  <si>
    <t>TÉCNICO EM ESTRADAS - PRESENCIAL - SUBSEQUENTE - MAI. 2017 / DEZ. 2019</t>
  </si>
  <si>
    <t>TÉCNICO EM MINERAÇÃO - PRESENCIAL - SUBSEQUENTE - MAI. 2017 / DEZ. 2019</t>
  </si>
  <si>
    <t>TÉCNICO EM TELECOMUNICAÇÕES - PRESENCIAL - SUBSEQUENTE - MAI. 2017 / DEZ. 2019</t>
  </si>
  <si>
    <t>TÉCNICO EM AGENTE COMUNITÁRIO DE SAÚDE - PRESENCIAL - SUBSEQUENTE - MAI. 2017 / DEZ. 2019</t>
  </si>
  <si>
    <t>TÉCNICO EM AQUICULTURA - PRESENCIAL - SUBSEQUENTE - MAI. 2017 / DEZ. 2019</t>
  </si>
  <si>
    <t>TÉCNICO EM DESIGN DE INTERIORES - PRESENCIAL - SUBSEQUENTE - MAI. 2017 / DEZ. 2019</t>
  </si>
  <si>
    <t>TÉCNICO EM EDIFICAÇÕES - PRESENCIAL - SUBSEQUENTE - MAI. 2017 / DEZ. 2019</t>
  </si>
  <si>
    <t>TÉCNICO EM ELETRÔNICA - PRESENCIAL - SUBSEQUENTE - MAI. 2017 / DEZ. 2019</t>
  </si>
  <si>
    <t>TÉCNICO EM ELETROTÉCNICA - PRESENCIAL - SUBSEQUENTE - MAI. 2017 / DEZ. 2019</t>
  </si>
  <si>
    <t>TÉCNICO EM GUIA DE TURISMO</t>
  </si>
  <si>
    <t>TÉCNICO EM GUIA DE TURISMO - PRESENCIAL - SUBSEQUENTE - MAI. 2017 / DEZ. 2019</t>
  </si>
  <si>
    <t>TÉCNICO EM MECÂNICA - PRESENCIAL - SUBSEQUENTE - MAI. 2017 / DEZ. 2019</t>
  </si>
  <si>
    <t>TÉCNICO EM SEGURANÇA DO TRABALHO - PRESENCIAL - SUBSEQUENTE - MAI. 2017 / DEZ. 2019</t>
  </si>
  <si>
    <t>PEDAGOGIA - PRESENCIAL - MAI. 2017 / JUN. 2020</t>
  </si>
  <si>
    <t>TÉCNICO EM DESIGN DE INTERIORES - PRESENCIAL - INTEGRADO - MAI. 2017 / DEZ. 2020</t>
  </si>
  <si>
    <t>TÉCNICO EM DESENVOLVIMENTO DE SISTEMAS</t>
  </si>
  <si>
    <t>TÉCNICO EM DESENVOLVIMENTO DE SISTEMAS - PRESENCIAL - INTEGRADO - MAI. 2017 / DEZ. 2020</t>
  </si>
  <si>
    <t>TÉCNICO EM AQÜICULTURA - PRESENCIAL - INTEGRADO - FEV. 2011 / JUN. 2014</t>
  </si>
  <si>
    <t>TÉCNICO EM HOSPEDAGEM</t>
  </si>
  <si>
    <t>TÉCNICO EM HOSPEDAGEM - PRESENCIAL - INTEGRADO - ABR. 2012 / OUT. 2015</t>
  </si>
  <si>
    <t>AGROECOLOGIA</t>
  </si>
  <si>
    <t>AGROECOLOGIA - PRESENCIAL - FEV. 2014 / JUN. 2017</t>
  </si>
  <si>
    <t>TÉCNICO EM EVENTOS - A DISTÂNCIA - SUBSEQUENTE - MAR. 2014 / DEZ. 2014</t>
  </si>
  <si>
    <t>TÉCNICO EM SECRETARIA ESCOLAR - A DISTÂNCIA - SUBSEQUENTE - OUT. 2014 / NOV. 2016 - IFPA CAMPUS BRAGANÇA</t>
  </si>
  <si>
    <t>TECNOLOGIA EM GESTAO AMBIENTAL</t>
  </si>
  <si>
    <t>TECNOLOGIA EM GESTAO AMBIENTAL - PRESENCIAL - FEV. 2014 / JAN. 2017</t>
  </si>
  <si>
    <t>FÍSICA - PRESENCIAL - FEV. 2014 / MAR. 2017</t>
  </si>
  <si>
    <t>AGROECOLOGIA - PRESENCIAL - MAR. 2013 / ABR. 2016</t>
  </si>
  <si>
    <t>TECNOLOGIA EM GESTAO AMBIENTAL - PRESENCIAL - MAR. 2013 / MAR. 2016</t>
  </si>
  <si>
    <t>TÉCNICO EM HOSPEDAGEM - PRESENCIAL - INTEGRADO - ABR. 2011 / MAR. 2015</t>
  </si>
  <si>
    <t>TÉCNICO EM HOSPEDAGEM - PRESENCIAL - SUBSEQUENTE - OUT. 2011 / MAI. 2014</t>
  </si>
  <si>
    <t>TÉCNICO EM HOSPEDAGEM - PRESENCIAL - SUBSEQUENTE - AGO. 2013 / JUN. 2015</t>
  </si>
  <si>
    <t>TÉCNICO EM EDIFICAÇÕES - PRESENCIAL - INTEGRADO - MAR. 2013 / OUT. 2016</t>
  </si>
  <si>
    <t>TÉCNICO EM EDIFICAÇÕES - PRESENCIAL - INTEGRADO - MAR. 2012 / OUT. 2014</t>
  </si>
  <si>
    <t>TÉCNICO EM EDIFICAÇÕES - PRESENCIAL - INTEGRADO - ABR. 2011 / MAR. 2015</t>
  </si>
  <si>
    <t>TÉCNICO EM EDIFICAÇÕES - PRESENCIAL - SUBSEQUENTE - AGO. 2013 / ABR. 2015</t>
  </si>
  <si>
    <t>TÉCNICO EM INFORMÁTICA - PRESENCIAL - INTEGRADO - AGO. 2012 / DEZ. 2016</t>
  </si>
  <si>
    <t>AGROECOLOGIA - PRESENCIAL - MAR. 2015 / DEZ. 2017</t>
  </si>
  <si>
    <t>TECNOLOGIA EM GESTAO AMBIENTAL - PRESENCIAL - MAR. 2015 / DEZ. 2017</t>
  </si>
  <si>
    <t>FÍSICA - PRESENCIAL - MAR. 2015 / ABR. 2018</t>
  </si>
  <si>
    <t>TÉCNICO EM EDIFICAÇÕES - PRESENCIAL - SUBSEQUENTE - AGO. 2015 / DEZ. 2016</t>
  </si>
  <si>
    <t>TÉCNICO EM EVENTOS - PRESENCIAL - INTEGRADO - ABR. 2015 / DEZ. 2017</t>
  </si>
  <si>
    <t>TÉCNICO EM AGROPECUÁRIA</t>
  </si>
  <si>
    <t>TÉCNICO EM AGROPECUÁRIA - PRESENCIAL - INTEGRADO - ABR. 2015 / DEZ. 2017</t>
  </si>
  <si>
    <t>TÉCNICO EM EDIFICAÇÕES - PRESENCIAL - INTEGRADO - ABR. 2015 / DEZ. 2017</t>
  </si>
  <si>
    <t>TÉCNICO EM DESENVOLVIMENTO DE SISTEMAS - PRESENCIAL - INTEGRADO - JUN. 2015 / DEZ. 2018</t>
  </si>
  <si>
    <t>TÉCNICO EM INFORMÁTICA - PRESENCIAL - SUBSEQUENTE - AGO. 2015 / DEZ. 2016</t>
  </si>
  <si>
    <t>TÉCNICO EM AQUICULTURA - PRESENCIAL - INTEGRADO - FEV. 2013 / JUN. 2016</t>
  </si>
  <si>
    <t>TÉCNICO EM INFORMÁTICA - PRESENCIAL - INTEGRADO - FEV. 2013 / JUN. 2016</t>
  </si>
  <si>
    <t>FÍSICA - PRESENCIAL - FEV. 2016 / DEZ. 2018</t>
  </si>
  <si>
    <t>AGROECOLOGIA - PRESENCIAL - FEV. 2016 / DEZ. 2018</t>
  </si>
  <si>
    <t>TECNOLOGIA EM GESTAO AMBIENTAL - PRESENCIAL - FEV. 2016 / DEZ. 2018</t>
  </si>
  <si>
    <t>TÉCNICO EM EVENTOS - PRESENCIAL - INTEGRADO - MAI. 2016 / DEZ. 2019</t>
  </si>
  <si>
    <t>TÉCNICO EM EDIFICAÇÕES - PRESENCIAL - INTEGRADO - MAI. 2016 / DEZ. 2019</t>
  </si>
  <si>
    <t>TÉCNICO EM PESCA - PRESENCIAL - SUBSEQUENTE - AGO. 2016 / JUN. 2018</t>
  </si>
  <si>
    <t>CADISTA PARA A CONSTRUÇÃO CIVIL</t>
  </si>
  <si>
    <t>CADISTA PARA A CONSTRUÇÃO CIVIL - PRESENCIAL - AGO. 2016 / DEZ. 2016</t>
  </si>
  <si>
    <t>CRIAÇÃO DE PEIXES EM VIVEIROS ESCAVADOS</t>
  </si>
  <si>
    <t>CRIAÇÃO DE PEIXES EM VIVEIROS ESCAVADOS - PRESENCIAL - AGO. 2016 / NOV. 2016</t>
  </si>
  <si>
    <t>PESCADOR PROFISSIONAL NÍVEL 1</t>
  </si>
  <si>
    <t>PESCADOR PROFISSIONAL NÍVEL 1 - PRESENCIAL - AGO. 2016 / NOV. 2016</t>
  </si>
  <si>
    <t>QUALIDADE NO ATENDIMENTO</t>
  </si>
  <si>
    <t>QUALIDADE NO ATENDIMENTO - PRESENCIAL - AGO. 2016 / NOV. 2016</t>
  </si>
  <si>
    <t>TÉCNICO EM INFORMÁTICA - A DISTÂNCIA - SUBSEQUENTE - DEZ. 2016 / DEZ. 2018 - IFPA CAMPUS BRAGANÇA</t>
  </si>
  <si>
    <t>TECNOLOGIA EM GESTAO AMBIENTAL - PRESENCIAL - FEV. 2017 / MAI. 2020</t>
  </si>
  <si>
    <t>FÍSICA - PRESENCIAL - FEV. 2017 / MAI. 2021</t>
  </si>
  <si>
    <t>TÉCNICO EM DESENVOLVIMENTO DE SISTEMAS - PRESENCIAL - INTEGRADO - JUN. 2017 / SET. 2020</t>
  </si>
  <si>
    <t>TÉCNICO EM PESCA - PRESENCIAL - INTEGRADO - JUN. 2017 / SET. 2020</t>
  </si>
  <si>
    <t>DOCÊNCIA PARA A EDUCAÇÃO PROFISSIONAL, CIENTÍFICA E TECNOLÓGICA</t>
  </si>
  <si>
    <t>DOCÊNCIA PARA A EDUCAÇÃO PROFISSIONAL, CIENTÍFICA E TECNOLÓGICA - PRESENCIAL - MAI. 2017 / MAI. 2018</t>
  </si>
  <si>
    <t>TÉCNICO EM INFORMÁTICA - PRESENCIAL - SUBSEQUENTE - ABR. 2013 / AGO. 2014</t>
  </si>
  <si>
    <t>BREVES - TÉCNICO EM EDIFICAÇÕES - PRESENCIAL - SUBSEQUENTE - ABR. 2013 / AGO. 2014</t>
  </si>
  <si>
    <t>TÉCNICO EM EVENTOS - PRESENCIAL - SUBSEQUENTE - ABR. 2013 / AGO. 2014</t>
  </si>
  <si>
    <t>TÉCNICO EM SECRETARIA ESCOLAR - A DISTÂNCIA - SUBSEQUENTE - OUT. 2014 / MAR. 2016</t>
  </si>
  <si>
    <t>TÉCNICO EM EVENTOS - PRESENCIAL - SUBSEQUENTE - AGO. 2015 / DEZ. 2016</t>
  </si>
  <si>
    <t>TÉCNICO EM SANEAMENTO - PRESENCIAL - SUBSEQUENTE - ABR. 2016 / ABR. 2018</t>
  </si>
  <si>
    <t>TÉCNICO EM AGROPECUÁRIA - PRESENCIAL - SUBSEQUENTE - ABR. 2016 / OUT. 2017</t>
  </si>
  <si>
    <t>ORGANIZADOR DE EVENTOS</t>
  </si>
  <si>
    <t>ORGANIZADOR DE EVENTOS - PRESENCIAL - AGO. 2016 / OUT. 2016</t>
  </si>
  <si>
    <t>ORGANIZADOR DE EVENTOS - PRESENCIAL - OUT. 2016 / DEZ. 2016</t>
  </si>
  <si>
    <t>MESTRE DE OBRAS</t>
  </si>
  <si>
    <t>MESTRE DE OBRAS - PRESENCIAL - AGO. 2016 / DEZ. 2016</t>
  </si>
  <si>
    <t>MESTRE DE OBRAS - PRESENCIAL - NOV. 2016 / FEV. 2017</t>
  </si>
  <si>
    <t>AGRICULTOR FAMILIAR</t>
  </si>
  <si>
    <t>AGRICULTOR FAMILIAR - PRESENCIAL - AGO. 2016 / OUT. 2016</t>
  </si>
  <si>
    <t>OPERADOR DE COMPUTADOR - PRESENCIAL - AGO. 2016 / SET. 2016</t>
  </si>
  <si>
    <t>OPERADOR DE COMPUTADOR - PRESENCIAL - OUT. 2016 / DEZ. 2016</t>
  </si>
  <si>
    <t>MONTADOR E REPARADOR DE COMPUTADORES</t>
  </si>
  <si>
    <t>MONTADOR E REPARADOR DE COMPUTADORES - PRESENCIAL - AGO. 2016 / SET. 2016</t>
  </si>
  <si>
    <t>MONTADOR E REPARADOR DE COMPUTADORES - PRESENCIAL - OUT. 2016 / DEZ. 2016</t>
  </si>
  <si>
    <t>AGRICULTOR FAMILIAR - PRESENCIAL - OUT. 2016 / FEV. 2017</t>
  </si>
  <si>
    <t>CRIADOR DE PEIXES EM VIVEIROS ESCAVADOS</t>
  </si>
  <si>
    <t>CRIADOR DE PEIXES EM VIVEIROS ESCAVADOS - PRESENCIAL - AGO. 2016 / OUT. 2016</t>
  </si>
  <si>
    <t>TÉCNICO EM INFORMÁTICA PARA INTERNET - PRESENCIAL - SUBSEQUENTE - MAI. 2017 / OUT. 2018</t>
  </si>
  <si>
    <t>TÉCNICO EM MEIO AMBIENTE - PRESENCIAL - SUBSEQUENTE - MAI. 2017 / OUT. 2018</t>
  </si>
  <si>
    <t>TÉCNICO EM INFORMÁTICA - PRESENCIAL - INTEGRADO - MAI. 2017 / MAI. 2020</t>
  </si>
  <si>
    <t>TÉCNICO EM AGROPECUÁRIA - PRESENCIAL - SUBSEQUENTE - MAI. 2017 / OUT. 2018</t>
  </si>
  <si>
    <t>AGRICULTOR FAMILIAR - PRESENCIAL - CONCOMITANTE - JUN. 2017 / NOV. 2017</t>
  </si>
  <si>
    <t>CRIADOR DE PEIXES EM VIVEIROS ESCAVADOS - PRESENCIAL - CONCOMITANTE - JUN. 2017 / NOV. 2017 APROCOTANE</t>
  </si>
  <si>
    <t>MESTRE DE OBRAS - PRESENCIAL - CONCOMITANTE - JUN. 2017 / NOV. 2017</t>
  </si>
  <si>
    <t>MONTADOR E REPARADOR DE COMPUTADORES - PRESENCIAL - CONCOMITANTE - JUN. 2017 / NOV. 2017</t>
  </si>
  <si>
    <t>DESENHISTA DA CONSTRUÇÃO CIVIL</t>
  </si>
  <si>
    <t>DESENHISTA DA CONSTRUÇÃO CIVIL - PRESENCIAL - CONCOMITANTE - JUN. 2017 / NOV. 2017</t>
  </si>
  <si>
    <t>TÉCNICO EM SECRETARIA ESCOLAR - A DISTÂNCIA - SUBSEQUENTE - OUT. 2014 / NOV. 2016 - POLO DA UNIVERSIDADE ABERTA DO BRASIL</t>
  </si>
  <si>
    <t>TÉCNICO EM INFORMÁTICA - PRESENCIAL - SUBSEQUENTE - AGO. 2015 / JAN. 2017</t>
  </si>
  <si>
    <t>TÉCNICO EM INFORMÁTICA - PRESENCIAL - SUBSEQUENTE - MAR. 2016 / SET. 2017</t>
  </si>
  <si>
    <t>AGRICULTOR FAMILIAR - PRESENCIAL - CONCOMITANTE - AGO. 2016 / DEZ. 2016</t>
  </si>
  <si>
    <t>AUXILIAR TECNICO EM AGROECOLOGIA</t>
  </si>
  <si>
    <t>AUXILIAR TECNICO EM AGROECOLOGIA - PRESENCIAL - CONCOMITANTE - AGO. 2016 / DEZ. 2016</t>
  </si>
  <si>
    <t>ESPECIALIZAÇÃO EM AGROECOLOGIA</t>
  </si>
  <si>
    <t>ESPECIALIZAÇÃO EM AGROECOLOGIA - PRESENCIAL - MAR. 2017 / DEZ. 2018</t>
  </si>
  <si>
    <t>TÉCNICO EM INFORMÁTICA - PRESENCIAL - INTEGRADO - MAR. 2017 / DEZ. 2020</t>
  </si>
  <si>
    <t>TÉCNICO EM INFORMÁTICA - PRESENCIAL - SUBSEQUENTE - MAI. 2017 / AGO. 2018</t>
  </si>
  <si>
    <t>TÉCNICO EM AGROPECUÁRIA - PRESENCIAL - SUBSEQUENTE - MAI. 2017 / AGO. 2018</t>
  </si>
  <si>
    <t>INFORMATICA EDUCATIVA</t>
  </si>
  <si>
    <t>INFORMATICA EDUCATIVA - EDUCAÇÃO PRESENCIAL - MAI. 2017 / OUT. 2018</t>
  </si>
  <si>
    <t>AGRONOMIA</t>
  </si>
  <si>
    <t>AGRONOMIA - PRESENCIAL - MAR. 2010 / MAR. 2014</t>
  </si>
  <si>
    <t>TÉCNICO EM AGROPECUÁRIA - PRESENCIAL - INTEGRADO - FEV. 2011 / DEZ. 2013</t>
  </si>
  <si>
    <t>AQUICULTURA</t>
  </si>
  <si>
    <t>PRODUÇÃO ALIMENTÍCIA</t>
  </si>
  <si>
    <t>AQÜICULTURA - PRESENCIAL - MAR. 2011 / DEZ. 2013</t>
  </si>
  <si>
    <t>AGRONOMIA - PRESENCIAL - MAR. 2011 / JUN. 2015</t>
  </si>
  <si>
    <t>TÉCNICO EM AGROPECUÁRIA - PRESENCIAL - PROEJA - INTEGRADO - MAI. 2011 / ABR. 2014</t>
  </si>
  <si>
    <t>TÉCNICO EM AGROPECUÁRIA - PRESENCIAL - INTEGRADO - MAR. 2012 / DEZ. 2014</t>
  </si>
  <si>
    <t>TÉCNICO EM FLORESTAS</t>
  </si>
  <si>
    <t>TÉCNICO EM FLORESTAS - PRESENCIAL - SUBSEQUENTE - MAR. 2012 / AGO. 2013</t>
  </si>
  <si>
    <t>AQÜICULTURA - PRESENCIAL - MAR. 2012 / DEZ. 2015</t>
  </si>
  <si>
    <t>AGRONOMIA - PRESENCIAL - MAR. 2012 / AGO. 2016</t>
  </si>
  <si>
    <t>MESTRADO PROFISSIONAL EM DESENVOLVIMENTO RURAL E GESTÃO DE EMPREENDIMENTOS AGROALIMENTARES</t>
  </si>
  <si>
    <t>MESTRADO PROFISSIONAL EM DESENVOLVIMENTO RURAL E GESTÃO DE EMPREENDIMENTOS AGROALIMENTARES - PRESENCIAL - MAR. 2013 / MAR. 2015</t>
  </si>
  <si>
    <t>AQÜICULTURA - PRESENCIAL - MAR. 2013 / MAR. 2016</t>
  </si>
  <si>
    <t>AGRONOMIA - PRESENCIAL - MAR. 2013 / JUL. 2017</t>
  </si>
  <si>
    <t>TÉCNICO EM AGROPECUÁRIA - PRESENCIAL - INTEGRADO - MAR. 2013 / DEZ. 2015</t>
  </si>
  <si>
    <t>TÉCNICO EM AGROPECUÁRIA - PRESENCIAL - SUBSEQUENTE - MAR. 2013 / FEV. 2014</t>
  </si>
  <si>
    <t>TÉCNICO EM AGROINDÚSTRIA</t>
  </si>
  <si>
    <t>TÉCNICO EM AGROINDÚSTRIA - PRESENCIAL - SUBSEQUENTE - MAR. 2013 / DEZ. 2014</t>
  </si>
  <si>
    <t>TÉCNICO EM MEIO AMBIENTE - PRESENCIAL - SUBSEQUENTE - MAR. 2013 / DEZ. 2013</t>
  </si>
  <si>
    <t>TÉCNICO EM REDES DE COMPUTADORES - PRESENCIAL - SUBSEQUENTE - MAR. 2013 / DEZ. 2013</t>
  </si>
  <si>
    <t>TÉCNICO EM AGROPECUÁRIA - PRESENCIAL - PROEJA - INTEGRADO - JUN. 2013 / JAN. 2016</t>
  </si>
  <si>
    <t>TÉCNICO EM RECURSOS PESQUEIROS - PRESENCIAL - SUBSEQUENTE - JUN. 2013 / JUN. 2015</t>
  </si>
  <si>
    <t>TÉCNICO EM INFORMÁTICA - PRESENCIAL - SUBSEQUENTE - JUN. 2013 / JUN. 2015</t>
  </si>
  <si>
    <t>TÉCNICO EM AGROPECUÁRIA - PRESENCIAL - INTEGRADO - FEV. 2014 / DEZ. 2016</t>
  </si>
  <si>
    <t>TÉCNICO EM AGROPECUÁRIA - PRESENCIAL - SUBSEQUENTE - FEV. 2014 / DEZ. 2014</t>
  </si>
  <si>
    <t>TÉCNICO EM AGROINDÚSTRIA - PRESENCIAL - SUBSEQUENTE - FEV. 2014 / DEZ. 2015</t>
  </si>
  <si>
    <t>TÉCNICO EM FLORESTAS - PRESENCIAL - SUBSEQUENTE - FEV. 2014 / JUL. 2015</t>
  </si>
  <si>
    <t>TÉCNICO EM MEIO AMBIENTE - PRESENCIAL - SUBSEQUENTE - FEV. 2014 / DEZ. 2014</t>
  </si>
  <si>
    <t>TÉCNICO EM REDES DE COMPUTADORES - PRESENCIAL - SUBSEQUENTE - FEV. 2014 / DEZ. 2014</t>
  </si>
  <si>
    <t>TÉCNICO EM AGROPECUÁRIA - PRESENCIAL - PROEJA - INTEGRADO - MAR. 2014 / JAN. 2017</t>
  </si>
  <si>
    <t>TÉCNICO EM AGROPECUÁRIA - PRESENCIAL - PROEJA - INTEGRADO - ABR. 2014 / JAN. 2017</t>
  </si>
  <si>
    <t>MESTRADO PROFISSIONAL EM DESENVOLVIMENTO RURAL E GESTÃO DE EMPREENDIMENTOS AGROALIMENTARES - PRESENCIAL - MAR. 2014 / MAR. 2016</t>
  </si>
  <si>
    <t>AGRONOMIA - PRESENCIAL - MAR. 2014 / JUL. 2018</t>
  </si>
  <si>
    <t>AQÜICULTURA - PRESENCIAL - MAR. 2014 / MAR. 2017</t>
  </si>
  <si>
    <t>COMPUTAÇÃO - PRESENCIAL - MAR. 2014 / MAR. 2017</t>
  </si>
  <si>
    <t>TÉCNICO EM AGROPECUÁRIA - PRESENCIAL - SUBSEQUENTE - ABR. 2015 / MAR. 2016</t>
  </si>
  <si>
    <t>TÉCNICO EM AGROPECUÁRIA - PRESENCIAL - INTEGRADO - ABR. 2015 / MAR. 2017</t>
  </si>
  <si>
    <t>TÉCNICO EM REDES DE COMPUTADORES - PRESENCIAL - SUBSEQUENTE - ABR. 2015 / MAR. 2016</t>
  </si>
  <si>
    <t>TÉCNICO EM MEIO AMBIENTE - PRESENCIAL - SUBSEQUENTE - ABR. 2015 / MAR. 2016</t>
  </si>
  <si>
    <t>TÉCNICO EM AGROINDÚSTRIA - PRESENCIAL - SUBSEQUENTE - ABR. 2015 / MAR. 2016</t>
  </si>
  <si>
    <t>TÉCNICO EM FLORESTAS - PRESENCIAL - SUBSEQUENTE - JUN. 2015 / DEZ. 2016</t>
  </si>
  <si>
    <t>MESTRADO PROFISSIONAL EM DESENVOLVIMENTO RURAL E GESTÃO DE EMPREENDIMENTOS AGROALIMENTARES - PRESENCIAL - MAR. 2015 / MAR. 2017</t>
  </si>
  <si>
    <t>AGRONOMIA - PRESENCIAL - ABR. 2015 / OUT. 2019</t>
  </si>
  <si>
    <t>AQUICULTURA - PRESENCIAL - ABR. 2015 / ABR. 2018</t>
  </si>
  <si>
    <t>COMPUTAÇÃO - PRESENCIAL - ABR. 2015 / ABR. 2018</t>
  </si>
  <si>
    <t>TÉCNICO EM AGROPECUÁRIA - PRESENCIAL - PROEJA - INTEGRADO - OUT. 2015 / OUT. 2018</t>
  </si>
  <si>
    <t>TÉCNICO EM AGROINDÚSTRIA - PRESENCIAL - SUBSEQUENTE - JAN. 2016 / JAN. 2018</t>
  </si>
  <si>
    <t>TÉCNICO EM AGROPECUÁRIA - PRESENCIAL - INTEGRADO - JUN. 2016 / JUN. 2019</t>
  </si>
  <si>
    <t>TÉCNICO EM AGROPECUÁRIA - PRESENCIAL - SUBSEQUENTE - JUN. 2016 / JUN. 2017</t>
  </si>
  <si>
    <t>TÉCNICO EM MEIO AMBIENTE - PRESENCIAL - SUBSEQUENTE - JUN. 2016 / JUN. 2017</t>
  </si>
  <si>
    <t>TÉCNICO EM REDES DE COMPUTADORES - PRESENCIAL - SUBSEQUENTE - JUN. 2016 / JUN. 2017</t>
  </si>
  <si>
    <t>TÉCNICO EM AGROINDÚSTRIA - PRESENCIAL - SUBSEQUENTE - JUN. 2016 / JUN. 2018</t>
  </si>
  <si>
    <t>AQUICULTURA - PRESENCIAL - JUN. 2016 / JUL. 2019</t>
  </si>
  <si>
    <t>COMPUTAÇÃO - PRESENCIAL - JUN. 2016 / JUL. 2020</t>
  </si>
  <si>
    <t>AGRONOMIA - PRESENCIAL - JUN. 2016 / JUL. 2020</t>
  </si>
  <si>
    <t>TÉCNICO EM FLORESTAS - PRESENCIAL - SUBSEQUENTE - AGO. 2016 / JAN. 2018</t>
  </si>
  <si>
    <t>TÉCNICO EM AGROPECUÁRIA - PRESENCIAL - PROEJA - INTEGRADO - AGO. 2016 / NOV. 2019</t>
  </si>
  <si>
    <t>MESTRADO PROFISSIONAL EM DESENVOLVIMENTO RURAL E GESTÃO DE EMPREENDIMENTOS AGROALIMENTARES - PRESENCIAL - FEV. 2016 / FEV. 2018</t>
  </si>
  <si>
    <t>MESTRADO PROFISSIONAL EM DESENVOLVIMENTO RURAL E GESTÃO DE EMPREENDIMENTOS AGROALIMENTARES - PRESENCIAL - MAR. 2017 / MAR. 2019</t>
  </si>
  <si>
    <t>GESTÃO AMBIENTAL</t>
  </si>
  <si>
    <t>GESTÃO AMBIENTAL - PRESENCIAL - FEV. 2011 / DEZ. 2013</t>
  </si>
  <si>
    <t>TÉCNICO EM AGROPECUÁRIA - PRESENCIAL - SUBSEQUENTE - FEV. 2012 / JUL. 2013</t>
  </si>
  <si>
    <t>TÉCNICO EM AGRIMENSURA - PRESENCIAL - SUBSEQUENTE - MAR. 2012 / DEZ. 2013</t>
  </si>
  <si>
    <t>AGRONOMIA - PRESENCIAL - MAR. 2012 / DEZ. 2016</t>
  </si>
  <si>
    <t>GESTÃO AMBIENTAL - PRESENCIAL - SET. 2012 / JUL. 2015</t>
  </si>
  <si>
    <t>TÉCNICO EM EDIFICAÇÕES NOITE - PRESENCIAL - SUBSEQUENTE - MAR. 2012 / DEZ. 2013</t>
  </si>
  <si>
    <t>BIOLOGIA - PRESENCIAL - JAN. 2012 / DEZ. 2015</t>
  </si>
  <si>
    <t>AGRONOMIA - PRESENCIAL - MAR. 2013 / JUL. 2018</t>
  </si>
  <si>
    <t>TÉCNICO EM EDIFICAÇÕES - PRESENCIAL - SUBSEQUENTE - OUT. 2013 / JUL. 2015</t>
  </si>
  <si>
    <t>TÉCNICO EM AGRIMENSURA - PRESENCIAL - SUBSEQUENTE - OUT. 2013 / JUL. 2015</t>
  </si>
  <si>
    <t>GESTÃO AMBIENTAL - PRESENCIAL - OUT. 2013 / DEZ. 2016</t>
  </si>
  <si>
    <t>TÉCNICO EM AGROPECUÁRIA - PRESENCIAL - SUBSEQUENTE - OUT. 2013 / DEZ. 2015</t>
  </si>
  <si>
    <t>TÉCNICO EM SANEAMENTO - PRESENCIAL - SUBSEQUENTE - OUT. 2013 / JUL. 2015</t>
  </si>
  <si>
    <t>TÉCNICO EM SEGURANÇA DO TRABALHO - PRESENCIAL - SUBSEQUENTE - JAN. 2014 / JUL. 2015</t>
  </si>
  <si>
    <t>AGRONOMIA - PRESENCIAL - FEV. 2014 / ABR. 2019</t>
  </si>
  <si>
    <t>GESTÃO AMBIENTAL - PRESENCIAL - AGO. 2014 / JUL. 2017</t>
  </si>
  <si>
    <t>TÉCNICO EM ALIMENTAÇÃO ESCOLAR - A DISTÂNCIA - SUBSEQUENTE - OUT. 2014 / JUL. 2016</t>
  </si>
  <si>
    <t>TÉCNICO EM MULTIMEIOS DIDÁTICOS - A DISTÂNCIA - SUBSEQUENTE - OUT. 2014 / JUL. 2016 - POLO CONCEIÇÃO DO ARAGUAIA</t>
  </si>
  <si>
    <t>TÉCNICO EM MULTIMEIOS DIDÁTICOS - A DISTÂNCIA - SUBSEQUENTE - OUT. 2014 / JUL. 2016</t>
  </si>
  <si>
    <t>TÉCNICO EM SECRETARIA ESCOLAR - A DISTÂNCIA - SUBSEQUENTE - OUT. 2014 / JUL. 2016</t>
  </si>
  <si>
    <t>AGRONOMIA - PRESENCIAL - MAR. 2015 / DEZ. 2019</t>
  </si>
  <si>
    <t>TÉCNICO EM AGROPECUÁRIA - PRESENCIAL - SUBSEQUENTE - MAR. 2015 / DEZ. 2016</t>
  </si>
  <si>
    <t>TÉCNICO EM EDIFICAÇÕES - PRESENCIAL - INTEGRADO - MAR. 2015 / DEZ. 2018</t>
  </si>
  <si>
    <t>TÉCNICO EM SANEAMENTO - PRESENCIAL - SUBSEQUENTE - MAR. 2015 / DEZ. 2016</t>
  </si>
  <si>
    <t>TÉCNICO EM SEGURANÇA DO TRABALHO - PRESENCIAL - SUBSEQUENTE - MAR. 2015 / DEZ. 2016</t>
  </si>
  <si>
    <t>TÉCNICO EM MARKETING</t>
  </si>
  <si>
    <t>TÉCNICO EM MARKETING - PRESENCIAL - SUBSEQUENTE - ABR. 2015 / DEZ. 2016</t>
  </si>
  <si>
    <t>GESTÃO AMBIENTAL - PRESENCIAL - MAR. 2016 / DEZ. 2019</t>
  </si>
  <si>
    <t>AGRONOMIA - PRESENCIAL - MAR. 2016 / DEZ. 2020</t>
  </si>
  <si>
    <t>GESTÃO AMBIENTAL - PRESENCIAL - AGO. 2015 / DEZ. 2018</t>
  </si>
  <si>
    <t>TÉCNICO EM MARKETING - PRESENCIAL - SUBSEQUENTE - AGO. 2015 / JUN. 2017</t>
  </si>
  <si>
    <t>TÉCNICO EM AGROPECUÁRIA - PRESENCIAL - INTEGRADO - JUN. 2016 / JUN. 2020</t>
  </si>
  <si>
    <t>TÉCNICO EM SANEAMENTO - PRESENCIAL - SUBSEQUENTE - JUN. 2016 / JUN. 2018</t>
  </si>
  <si>
    <t>TÉCNICO EM EVENTOS - PRESENCIAL - SUBSEQUENTE - JUN. 2016 / JUN. 2018</t>
  </si>
  <si>
    <t>GESTÃO AMBIENTAL - PRESENCIAL - MAR. 2017 / DEZ. 2020</t>
  </si>
  <si>
    <t>AGRONOMIA - PRESENCIAL - MAR. 2017 / DEZ. 2022</t>
  </si>
  <si>
    <t>DOCÊNCIA PARA A EDUCAÇÃO PROFISSIONAL, CIENTÍFICA E TECNOLÓGICA - PRESENCIAL - FEV. 2017 / AGO. 2017</t>
  </si>
  <si>
    <t>TÉCNICO EM AGROPECUÁRIA - PRESENCIAL - SUBSEQUENTE - MAI. 2017 / ABR. 2019</t>
  </si>
  <si>
    <t>TÉCNICO EM SEGURANÇA DO TRABALHO - PRESENCIAL - SUBSEQUENTE - MAI. 2017 / ABR. 2019</t>
  </si>
  <si>
    <t>TÉCNICO EM SANEAMENTO - PRESENCIAL - SUBSEQUENTE - MAI. 2017 / ABR. 2019</t>
  </si>
  <si>
    <t>DOCÊNCIA PARA A EDUCAÇÃO PROFISSIONAL, CIENTÍFICA E TECNOLÓGICA - PRESENCIAL - MAI. 2017 / MAR. 2019</t>
  </si>
  <si>
    <t>TÉCNICO EM EDIFICAÇÕES - PRESENCIAL - INTEGRADO - MAI. 2017 / SET. 2020</t>
  </si>
  <si>
    <t>TÉCNICO EM EVENTOS - PRESENCIAL - INTEGRADO - MAI. 2017 / SET. 2020</t>
  </si>
  <si>
    <t>FORMAÇÃO CONTINUADA</t>
  </si>
  <si>
    <t>OPERADOR DE COMPUTADOR - PRESENCIAL - CONCOMITANTE - MAI. 2017 / OUT. 2017</t>
  </si>
  <si>
    <t>PEDAGOGIA - PRESENCIAL - JUL. 2011 / JUL. 2015</t>
  </si>
  <si>
    <t>INFORMÁTICA</t>
  </si>
  <si>
    <t>INFORMÁTICA - PRESENCIAL - JUL. 2011 / JUL. 2014</t>
  </si>
  <si>
    <t>SANEAMENTO AMBIENTAL - PRESENCIAL - FEV. 2011 / DEZ. 2013</t>
  </si>
  <si>
    <t>TÉCNICO EM PESCA - A DISTÂNCIA - SUBSEQUENTE - DEZ. 2011 / OUT. 2013</t>
  </si>
  <si>
    <t>TÉCNICO EM INFORMÁTICA - A DISTÂNCIA - SUBSEQUENTE - DEZ. 2011 / OUT. 2013</t>
  </si>
  <si>
    <t>TÉCNICO EM EVENTOS - A DISTÂNCIA - SUBSEQUENTE - DEZ. 2011 / OUT. 2013</t>
  </si>
  <si>
    <t>TÉCNICO EM AQÜICULTURA - A DISTÂNCIA - SUBSEQUENTE - DEZ. 2011 / OUT. 2013</t>
  </si>
  <si>
    <t>TÉCNICO EM SANEAMENTO - A DISTÂNCIA - SUBSEQUENTE - DEZ. 2011 / OUT. 2013</t>
  </si>
  <si>
    <t>ANÁLISE E DESENVOLVIMENTO DE SISTEMAS - PRESENCIAL - FEV. 2011 / DEZ. 2013</t>
  </si>
  <si>
    <t>TÉCNICO EM SANEAMENTO - PRESENCIAL - INTEGRADO - FEV. 2011 / JUN. 2014</t>
  </si>
  <si>
    <t>TÉCNICO EM SANEAMENTO - PRESENCIAL - INTEGRADO - MAR. 2012 / JUN. 2015</t>
  </si>
  <si>
    <t>ARTESÃO DE PINTURA EM TECIDOS</t>
  </si>
  <si>
    <t>ARTESÃO DE PINTURA EM TECIDOS - PRESENCIAL - SUBSEQUENTE - NOV. 2013 / JAN. 2014</t>
  </si>
  <si>
    <t>TÉCNICO EM INFORMÁTICA - PRESENCIAL - INTEGRADO - MAR. 2014 / JUN. 2017</t>
  </si>
  <si>
    <t>TÉCNICO EM EDIFICAÇÕES - PRESENCIAL - INTEGRADO - MAR. 2014 / JUN. 2017</t>
  </si>
  <si>
    <t>TÉCNICO EM SANEAMENTO - PRESENCIAL - INTEGRADO - MAR. 2014 / JUN. 2017</t>
  </si>
  <si>
    <t>ANÁLISE E DESENVOLVIMENTO DE SISTEMAS - PRESENCIAL - MAI. 2014 / DEZ. 2016</t>
  </si>
  <si>
    <t>SANEAMENTO AMBIENTAL - PRESENCIAL - MAI. 2014 / DEZ. 2016</t>
  </si>
  <si>
    <t>TÉCNICO EM EDIFICAÇÕES - PRESENCIAL - INTEGRADO - FEV. 2015 / JUN. 2018</t>
  </si>
  <si>
    <t>TÉCNICO EM SANEAMENTO - PRESENCIAL - INTEGRADO - MAR. 2015 / JUN. 2018</t>
  </si>
  <si>
    <t>TÉCNICO EM INFORMÁTICA - PRESENCIAL - INTEGRADO - MAR. 2015 / JUN. 2018</t>
  </si>
  <si>
    <t>SANEAMENTO AMBIENTAL - PRESENCIAL - AGO. 2015 / AGO. 2018</t>
  </si>
  <si>
    <t>ANÁLISE E DESENVOLVIMENTO DE SISTEMAS - PRESENCIAL - AGO. 2015 / AGO. 2018</t>
  </si>
  <si>
    <t>TÉCNICO EM EDIFICAÇÕES - PRESENCIAL - INTEGRADO - MAR. 2016 / JUN. 2019</t>
  </si>
  <si>
    <t>TÉCNICO EM INFORMÁTICA - PRESENCIAL - INTEGRADO - MAR. 2016 / JUN. 2019</t>
  </si>
  <si>
    <t>SANEAMENTO AMBIENTAL - PRESENCIAL - MAR. 2016 / DEZ. 2018</t>
  </si>
  <si>
    <t>ANÁLISE E DESENVOLVIMENTO DE SISTEMAS - PRESENCIAL - MAR. 2016 / DEZ. 2018</t>
  </si>
  <si>
    <t>TÉCNICO EM SANEAMENTO - PRESENCIAL - INTEGRADO - MAR. 2016 / JUN. 2019</t>
  </si>
  <si>
    <t>TÉCNICO EM EDIFICAÇÕES - PRESENCIAL - INTEGRADO - FEV. 2017 / JUN. 2020</t>
  </si>
  <si>
    <t>TÉCNICO EM INFORMÁTICA - PRESENCIAL - INTEGRADO - FEV. 2017 / JUN. 2020</t>
  </si>
  <si>
    <t>ESPECIALIZAÇÃO EM DOCÊNCIA PARA A EDUCAÇÃO PROFISSIONAL, CIENTÍFICA E TECNOLÓGICA - PRESENCIAL - FEV. 2017 / DEZ. 2017</t>
  </si>
  <si>
    <t>PROJETOS SOCIAIS</t>
  </si>
  <si>
    <t>PROJETOS SOCIAIS - EDUCAÇÃO PRESENCIAL - MAI. 2017 / JUL. 2017</t>
  </si>
  <si>
    <t>PEDAGOGIA LICENCIATURA - PRESENCIAL - JUL. 2010 / DEZ. 2013</t>
  </si>
  <si>
    <t>TÉCNICO EM ELETROTÉCNICA - PRESENCIAL - SUBSEQUENTE - SET. 2012 / SET. 2014</t>
  </si>
  <si>
    <t>TÉCNICO EM MECÂNICA - PRESENCIAL - SUBSEQUENTE - SET. 2012 / SET. 2014</t>
  </si>
  <si>
    <t>TÉCNICO EM QUÍMICA - PRESENCIAL - SUBSEQUENTE - SET. 2012 / SET. 2014</t>
  </si>
  <si>
    <t>TÉCNICO EM MULTIMEIOS DIDÁTICOS - A DISTÂNCIA - SUBSEQUENTE - OUT. 2014 / ABR. 2016</t>
  </si>
  <si>
    <t>TÉCNICO EM SECRETARIA ESCOLAR - A DISTÂNCIA - SUBSEQUENTE - OUT. 2014 / ABR. 2016</t>
  </si>
  <si>
    <t>TÉCNICO EM INFORMÁTICA - A DISTÂNCIA - SUBSEQUENTE - OUT. 2014 / ABR. 2016</t>
  </si>
  <si>
    <t>TÉCNICO EM MECÂNICA - PRESENCIAL - SUBSEQUENTE - AGO. 2011 / AGO. 2013</t>
  </si>
  <si>
    <t>TÉCNICO EM EDIFICAÇÕES - PRESENCIAL - SUBSEQUENTE - JAN. 2014 / JAN. 2016</t>
  </si>
  <si>
    <t>TÉCNICO EM INFORMÁTICA - PRESENCIAL - SUBSEQUENTE - JAN. 2014 / JAN. 2016</t>
  </si>
  <si>
    <t>TÉCNICO EM AGRIMENSURA - PRESENCIAL - SUBSEQUENTE - OUT. 2014 / OUT. 2016</t>
  </si>
  <si>
    <t>TÉCNICO EM QUÍMICA - PRESENCIAL - SUBSEQUENTE - OUT. 2014 / OUT. 2016</t>
  </si>
  <si>
    <t>TÉCNICO EM EDIFICAÇÕES - PRESENCIAL - SUBSEQUENTE - OUT. 2014 / OUT. 2016</t>
  </si>
  <si>
    <t>TÉCNICO EM MECÂNICA - PRESENCIAL - SUBSEQUENTE - OUT. 2014 / OUT. 2016</t>
  </si>
  <si>
    <t>TÉCNICO EM ELETROTÉCNICA - PRESENCIAL - SUBSEQUENTE - OUT. 2014 / OUT. 2016</t>
  </si>
  <si>
    <t>TÉCNICO EM INFORMÁTICA - PRESENCIAL - SUBSEQUENTE - OUT. 2014 / OUT. 2016</t>
  </si>
  <si>
    <t>AGENTE DE PROJETOS SOCIAIS</t>
  </si>
  <si>
    <t>AGENTE DE PROJETOS SOCIAIS - PRESENCIAL - CONCOMITANTE - JUL. 2016 / AGO. 2016</t>
  </si>
  <si>
    <t>AUXILIAR ADMINISTRATIVO - PRESENCIAL - CONCOMITANTE - JUL. 2016 / AGO. 2016</t>
  </si>
  <si>
    <t>MONTADOR E REPARADOR DE COMPUTADOR - PRESENCIAL - CONCOMITANTE - JUL. 2016 / DEZ. 2016</t>
  </si>
  <si>
    <t>ELETRICISTA INDUSTRIAL</t>
  </si>
  <si>
    <t>ELETRICISTA INDUSTRIAL - PRESENCIAL - CONCOMITANTE - JUL. 2016 / DEZ. 2016</t>
  </si>
  <si>
    <t>CADISTA PARA CONSTRUÇÃO CIVIL - PRESENCIAL - INTEGRADO - JUL. 2016 / DEZ. 2016</t>
  </si>
  <si>
    <t>TÉCNICO EM CONTROLE AMBIENTAL</t>
  </si>
  <si>
    <t>TÉCNICO EM CONTROLE AMBIENTAL - PRESENCIAL - INTEGRADO - SET. 2016 / ABR. 2019</t>
  </si>
  <si>
    <t>TÉCNICO EM INFORMÁTICA - PRESENCIAL - INTEGRADO - SET. 2016 / ABR. 2019</t>
  </si>
  <si>
    <t>AGENTE DE PROJETOS SOCIAIS - PRESENCIAL - CONCOMITANTE - JAN. 2017 / ABR. 2017</t>
  </si>
  <si>
    <t>AUXILIAR ADMINISTRATIVO - PRESENCIAL - CONCOMITANTE - JAN. 2017 / ABR. 2017</t>
  </si>
  <si>
    <t>CADISTA PARA CONSTRUÇÃO CIVIL - PRESENCIAL - CONCOMITANTE - JAN. 2017 / ABR. 2017</t>
  </si>
  <si>
    <t>ELETRICISTA INDUSTRIAL - PRESENCIAL - CONCOMITANTE - JAN. 2017 / MAI. 2017</t>
  </si>
  <si>
    <t>MONTADOR E REPARADOR DE COMPUTADOR - PRESENCIAL - CONCOMITANTE - JAN. 2017 / ABR. 2017</t>
  </si>
  <si>
    <t>TÉCNICO EM INFORMÁTICA - PRESENCIAL - INTEGRADO - ABR. 2017 / ABR. 2020</t>
  </si>
  <si>
    <t>TÉCNICO EM CONTROLE AMBIENTAL - PRESENCIAL - INTEGRADO - ABR. 2017 / ABR. 2020</t>
  </si>
  <si>
    <t>TÉCNICO EM MECÂNICA - PRESENCIAL - SUBSEQUENTE - ABR. 2017 / ABR. 2019</t>
  </si>
  <si>
    <t>TÉCNICO EM QUÍMICA - PRESENCIAL - SUBSEQUENTE - ABR. 2017 / ABR. 2019</t>
  </si>
  <si>
    <t>TÉCNICO EM EDIFICAÇÕES - PRESENCIAL - SUBSEQUENTE - ABR. 2017 / ABR. 2019</t>
  </si>
  <si>
    <t>TÉCNICO EM AGRIMENSURA - PRESENCIAL - SUBSEQUENTE - ABR. 2017 / ABR. 2019</t>
  </si>
  <si>
    <t>TÉCNICO EM AUTOMAÇÃO INDUSTRIAL</t>
  </si>
  <si>
    <t>TÉCNICO EM AUTOMAÇÃO INDUSTRIAL - PRESENCIAL - SUBSEQUENTE - ABR. 2017 / ABR. 2019</t>
  </si>
  <si>
    <t>TÉCNICO EM METALURGIA - PRESENCIAL - SUBSEQUENTE - ABR. 2017 / ABR. 2019</t>
  </si>
  <si>
    <t>TÉCNICO EM ELETROMECÂNICA</t>
  </si>
  <si>
    <t>TÉCNICO EM ELETROMECÂNICA - PRESENCIAL - INTEGRADO - ABR. 2017 / ABR. 2020</t>
  </si>
  <si>
    <t>EDUCAÇÃO DO CAMPO - PRESENCIAL - JUL. 2009 / JUL. 2013</t>
  </si>
  <si>
    <t>TÉCNICO EM AGROPECUÁRIA - PRESENCIAL - PROEJA - INTEGRADO - AGO. 2010 / AGO. 2013</t>
  </si>
  <si>
    <t>TÉCNICO EM AGROECOLOGIA</t>
  </si>
  <si>
    <t>TÉCNICO EM AGROECOLOGIA - PRESENCIAL - INTEGRADO - JUN. 2011 / JUN. 2014</t>
  </si>
  <si>
    <t>LICENCIATURA EM EDUCAÇAO DO CAMPO</t>
  </si>
  <si>
    <t>LICENCIATURA EM EDUCAÇAO DO CAMPO - PRESENCIAL - AGO. 2011 / DEZ. 2015</t>
  </si>
  <si>
    <t>EDUCAÇAO DO CAMPO, AGRICULTURA FAMILIAR E SUSTENTABILIDADE NA AMAZONIA</t>
  </si>
  <si>
    <t>EDUCAÇAO DO CAMPO, AGRICULTURA FAMILIAR E SUSTENTABILIDADE NA AMAZONIA - PRESENCIAL - NOV. 2011 / NOV. 2013</t>
  </si>
  <si>
    <t>TÉCNICO EM AQÜICULTURA - A DISTÂNCIA - SUBSEQUENTE - DEZ. 2011 / NOV. 2013</t>
  </si>
  <si>
    <t>TÉCNICO EM INFORMÁTICA - A DISTÂNCIA - SUBSEQUENTE - DEZ. 2011 / NOV. 2013</t>
  </si>
  <si>
    <t>TÉCNICO EM SANEAMENTO - A DISTÂNCIA - SUBSEQUENTE - DEZ. 2011 / NOV. 2013</t>
  </si>
  <si>
    <t>TÉCNICO EM AGROPECUÁRIA - PRESENCIAL - INTEGRADO - MAR. 2014 / DEZ. 2016</t>
  </si>
  <si>
    <t>MAGISTÉRIO INDIGENA - PROJETO IBAOREBU DE ENSINO MÉDIO INTEGRADO MUNDURUKU</t>
  </si>
  <si>
    <t>MAGISTÉRIO INDIGENA - PROJETO IBAOREBU DE ENSINO MÉDIO INTEGRADO MUNDURUKU - PRESENCIAL - INTEGRADO - JAN. 2013 / DEZ. 2015</t>
  </si>
  <si>
    <t>EDUCAÇAO DO CAMPO, AGRICULTURA FAMILIAR E SUSTENTABILIDADE NA AMAZONIA - PRESENCIAL - JUL. 2014 / JUL. 2015</t>
  </si>
  <si>
    <t>TÉCNICO EM INFORMÁTICA - A DISTÂNCIA - SUBSEQUENTE - OUT. 2014 / NOV. 2016 - INSTITUTO FEDERAL DO PARÁ CAMPUS MARABÁ RURAL</t>
  </si>
  <si>
    <t>TÉCNICO EM AGROPECUÁRIA - PRESENCIAL - INTEGRADO - OUT. 2015 / DEZ. 2018</t>
  </si>
  <si>
    <t>EDUCAÇÃO DO CAMPO, AGRICULTURA FAMILIAR E CURRICULO</t>
  </si>
  <si>
    <t>EDUCAÇÃO DO CAMPO, AGRICULTURA FAMILIAR E CURRICULO - PRESENCIAL - JAN. 2015 / JUL. 2016</t>
  </si>
  <si>
    <t>EDUCAÇAO DO CAMPO, AGRICULTURA FAMILIAR E SUSTENTABILIDADE NA AMAZONIA - PRESENCIAL - JAN. 2015 / JUL. 2016</t>
  </si>
  <si>
    <t>TÉCNICO EM AGROPECUÁRIA - PRESENCIAL - SUBSEQUENTE - MAI. 2015 / MAR. 2017</t>
  </si>
  <si>
    <t>EDUCAÇÃO DO CAMPO, AGRICULTURA FAMILIAR E CURRICULO - PRESENCIAL - MAI. 2015 / DEZ. 2016</t>
  </si>
  <si>
    <t>EDUCAÇAO DO CAMPO, AGRICULTURA FAMILIAR E SUSTENTABILIDADE NA AMAZONIA - PRESENCIAL - MAI. 2015 / DEZ. 2016</t>
  </si>
  <si>
    <t>EDUCAÇÃO DO CAMPO, AGRICULTURA FAMILIAR E CURRICULO - PRESENCIAL - AGO. 2015 / JUL. 2016</t>
  </si>
  <si>
    <t>EDUCAÇAO DO CAMPO, AGRICULTURA FAMILIAR E SUSTENTABILIDADE NA AMAZONIA - PRESENCIAL - AGO. 2015 / JUL. 2016</t>
  </si>
  <si>
    <t>EDUCAÇÃO DO CAMPO, AGROECOLOGIA E QUESTÕES PEDAGÓGICAS</t>
  </si>
  <si>
    <t>EDUCAÇÃO DO CAMPO, AGROECOLOGIA E QUESTÕES PEDAGÓGICAS - PRESENCIAL - JUL. 2015 / DEZ. 2016</t>
  </si>
  <si>
    <t>TÉCNICO EM AGROPECUÁRIA - PRESENCIAL - SUBSEQUENTE - JAN. 2015 / JUL. 2016</t>
  </si>
  <si>
    <t>TÉCNICO EM AGROINDÚSTRIA - PRESENCIAL - SUBSEQUENTE - MAI. 2016 / JUL. 2017</t>
  </si>
  <si>
    <t>CURSO DE FORMAÇÃO INICIAL E CONTINUADA EM AGRICULTURA FAMILIAR CAMPONESA INTEGRADO AO ENSINO FUNDAMENTAL NA MODALIDADE EJA (PROEJA FIC)</t>
  </si>
  <si>
    <t>CURSO DE FORMAÇÃO INICIAL E CONTINUADA EM AGRICULTURA FAMILIAR CAMPONESA INTEGRADO AO ENSINO FUNDAMENTAL NA MODALIDADE EJA (PROEJA FIC) - PRESENCIAL - INTEGRADO - MAI. 2016 / MAI. 2018</t>
  </si>
  <si>
    <t>TÉCNICO EM AGROECOLOGIA - PRESENCIAL - INTEGRADO - FEV. 2013 / FEV. 2016</t>
  </si>
  <si>
    <t>TÉCNICO EM ENFERMAGEM</t>
  </si>
  <si>
    <t>TÉCNICO EM ENFERMAGEM - PRESENCIAL - INTEGRADO - JAN. 2013 / JUN. 2016</t>
  </si>
  <si>
    <t>TÉCNICO EM AGROPECUÁRIA - PRESENCIAL - INTEGRADO - JUN. 2017 / JUN. 2020</t>
  </si>
  <si>
    <t>TÉCNICO EM GEOLOGIA</t>
  </si>
  <si>
    <t>TÉCNICO EM GEOLOGIA - PRESENCIAL - SUBSEQUENTE - OUT. 2013 / MAR. 2015</t>
  </si>
  <si>
    <t>TÉCNICO EM MANUTENÇÃO E SUPORTE EM INFORMÁTICA</t>
  </si>
  <si>
    <t>TÉCNICO EM MANUTENÇÃO E SUPORTE EM INFORMÁTICA - PRESENCIAL - SUBSEQUENTE - OUT. 2013 / MAR. 2015</t>
  </si>
  <si>
    <t>TÉCNICO EM ALIMENTAÇÃO ESCOLAR - A DISTÂNCIA - SUBSEQUENTE - OUT. 2014 / NOV. 2016 - POLO DE EDUCAÇÃO A DISTANCIA CAMPUS ÓBIDOS</t>
  </si>
  <si>
    <t>TÉCNICO EM SECRETARIA ESCOLAR - A DISTÂNCIA - SUBSEQUENTE - OUT. 2014 / NOV. 2016 - POLO DE EDUCAÇÃO A DISTANCIA CAMPUS ÓBIDOS</t>
  </si>
  <si>
    <t>TÉCNICO EM MANUTENÇÃO E SUPORTE EM INFORMÁTICA - PRESENCIAL - SUBSEQUENTE - JUN. 2015 / JUN. 2017</t>
  </si>
  <si>
    <t>TÉCNICO EM MANUTENÇÃO E SUPORTE EM INFORMÁTICA - PRESENCIAL - SUBSEQUENTE - MAR. 2016 / MAR. 2018</t>
  </si>
  <si>
    <t>TÉCNICO EM MANUTENÇÃO E SUPORTE EM INFORMÁTICA - PRESENCIAL - SUBSEQUENTE - JUN. 2016 / JUN. 2018</t>
  </si>
  <si>
    <t>TÉCNICO EM DESENVOLVIMENTO DE SISTEMAS - PRESENCIAL - SUBSEQUENTE - JUN. 2016 / JUN. 2018</t>
  </si>
  <si>
    <t>TÉCNICO EM MANUTENÇÃO E SUPORTE EM INFORMÁTICA - PRESENCIAL - SUBSEQUENTE - MAR. 2017 / MAR. 2019</t>
  </si>
  <si>
    <t>TÉCNICO EM DESENVOLVIMENTO DE SISTEMAS - PRESENCIAL - INTEGRADO - MAR. 2017 / JUN. 2022</t>
  </si>
  <si>
    <t>TÉCNICO EM FLORESTAS - PRESENCIAL - INTEGRADO - MAR. 2017 / JUN. 2022</t>
  </si>
  <si>
    <t>TÉCNICO EM ALIMENTAÇÃO ESCOLAR - A DISTÂNCIA - SUBSEQUENTE - OUT. 2014 / NOV. 2016 - POLO DE PARAGOMINAS</t>
  </si>
  <si>
    <t>TÉCNICO EM SECRETARIA ESCOLAR - A DISTÂNCIA - SUBSEQUENTE - OUT. 2014 / NOV. 2016 - POLO DE PARAGOMINAS</t>
  </si>
  <si>
    <t>TÉCNICO EM INFORMÁTICA - PRESENCIAL - SUBSEQUENTE - JUN. 2015 / JUN. 2017</t>
  </si>
  <si>
    <t>TÉCNICO EM INFORMÁTICA - PRESENCIAL - SUBSEQUENTE - ABR. 2016 / ABR. 2018</t>
  </si>
  <si>
    <t>TÉCNICO EM INFORMÁTICA - PRESENCIAL - SUBSEQUENTE - MAI. 2016 / MAI. 2018</t>
  </si>
  <si>
    <t>MONTAGEM E MANUTENÇÃO DE COMPUTADORES</t>
  </si>
  <si>
    <t>MONTAGEM E MANUTENÇÃO DE COMPUTADORES - PRESENCIAL - CONCOMITANTE - JUN. 2016 / OUT. 2018</t>
  </si>
  <si>
    <t>EDUCAÇÃO DO CAMPO, AGROECOLOGIA E QUESTÕES PEDAGÓGICAS - PRESENCIAL - JUN. 2016 / DEZ. 2018</t>
  </si>
  <si>
    <t>TÉCNICO EM MEIO AMBIENTE - PRESENCIAL - INTEGRADO - MAR. 2017 / MAR. 2020</t>
  </si>
  <si>
    <t>TÉCNICO EM INFORMÁTICA - PRESENCIAL - INTEGRADO - MAR. 2017 / MAR. 2020</t>
  </si>
  <si>
    <t>REGENTE DE BANDA</t>
  </si>
  <si>
    <t>REGENTE DE BANDA - PRESENCIAL - MAI. 2017 / DEZ. 2017</t>
  </si>
  <si>
    <t>TÉCNICO EM MULTIMEIOS DIDÁTICOS - A DISTÂNCIA - SUBSEQUENTE - OUT. 2014 / JUN. 2016</t>
  </si>
  <si>
    <t>TÉCNICO EM SECRETARIA ESCOLAR - A DISTÂNCIA - SUBSEQUENTE - OUT. 2014 / JUN. 2016 - POLO DE PARAUAPEBAS</t>
  </si>
  <si>
    <t>TÉCNICO EM MECÂNICA - PRESENCIAL - SUBSEQUENTE - SET. 2014 / SET. 2016</t>
  </si>
  <si>
    <t>TÉCNICO EM MECÂNICA - PRESENCIAL - SUBSEQUENTE - JUN. 2015 / JUN. 2017</t>
  </si>
  <si>
    <t>TÉCNICO EM ELETROELETRÔNICA</t>
  </si>
  <si>
    <t>TÉCNICO EM ELETROELETRÔNICA - PRESENCIAL - SUBSEQUENTE - JUN. 2015 / JUN. 2017</t>
  </si>
  <si>
    <t>TÉCNICO EM ELETROELETRÔNICA - PRESENCIAL - SUBSEQUENTE - MAI. 2016 / MAI. 2018</t>
  </si>
  <si>
    <t>TÉCNICO EM MECÂNICA - PRESENCIAL - INTEGRADO - JUN. 2016 / JUN. 2019</t>
  </si>
  <si>
    <t>TÉCNICO EM MECÂNICA - PRESENCIAL - INTEGRADO - MAR. 2017 / MAR. 2020</t>
  </si>
  <si>
    <t>TÉCNICO EM ELETROELETRÔNICA - PRESENCIAL - INTEGRADO - MAI. 2017 / JUL. 2020</t>
  </si>
  <si>
    <t>TÉCNICO EM ELETROMECÂNICA - PRESENCIAL - SUBSEQUENTE - MAI. 2017 / AGO. 2019</t>
  </si>
  <si>
    <t>TÉCNICO EM MEIO AMBIENTE - PRESENCIAL - SUBSEQUENTE - MAI. 2017 / AGO. 2019</t>
  </si>
  <si>
    <t>AUTOMAÇÃO INDUSTRIAL</t>
  </si>
  <si>
    <t>AUTOMAÇÃO INDUSTRIAL - PRESENCIAL - MAI. 2017 / AGO. 2020</t>
  </si>
  <si>
    <t>TÉCNICO EM AQÜICULTURA - PRESENCIAL - INTEGRADO - JUN. 2010 / DEZ. 2013</t>
  </si>
  <si>
    <t>TÉCNICO EM AGROPECUÁRIA - PRESENCIAL - INTEGRADO - JUN. 2010 / DEZ. 2013</t>
  </si>
  <si>
    <t>TÉCNICO EM EDIFICAÇÕES - PRESENCIAL - INTEGRADO - JUN. 2010 / DEZ. 2013</t>
  </si>
  <si>
    <t>TÉCNICO EM PESCA - PRESENCIAL - INTEGRADO - JUN. 2010 / DEZ. 2013</t>
  </si>
  <si>
    <t>TÉCNICO EM INFORMÁTICA - PRESENCIAL - INTEGRADO - JUN. 2010 / DEZ. 2013</t>
  </si>
  <si>
    <t>TÉCNICO EM MINERAÇÃO - PRESENCIAL - INTEGRADO - JUN. 2010 / DEZ. 2013</t>
  </si>
  <si>
    <t>TÉCNICO EM SANEAMENTO - PRESENCIAL - INTEGRADO - JUN. 2010 / DEZ. 2013</t>
  </si>
  <si>
    <t>LIC. EM EDUCAÇÃO DO CAMPO - 2010/2 - JUL.2010/JUL.2014</t>
  </si>
  <si>
    <t>TÉCNICO EM AGROPECUÁRIA - PRESENCIAL - SUBSEQUENTE - MAR. 2012 / MAR. 2014</t>
  </si>
  <si>
    <t>TÉCNICO EM EDIFICAÇÕES - PRESENCIAL - SUBSEQUENTE - MAR. 2012 / MAR. 2014</t>
  </si>
  <si>
    <t>TÉCNICO EM MINERAÇÃO - PRESENCIAL - SUBSEQUENTE - MAR. 2012 / MAR. 2014</t>
  </si>
  <si>
    <t>TÉCNICO EM AQÜICULTURA - PRESENCIAL - SUBSEQUENTE - MAR. 2012 / SET. 2013</t>
  </si>
  <si>
    <t>TÉCNICO EM INFORMÁTICA - PRESENCIAL - SUBSEQUENTE - MAR. 2012 / SET. 2013</t>
  </si>
  <si>
    <t>TÉCNICO EM EDIFICAÇÕES - PRESENCIAL - INTEGRADO - MAR. 2012 / SET. 2015</t>
  </si>
  <si>
    <t>TÉCNICO EM AGROPECUÁRIA - PRESENCIAL - INTEGRADO - MAR. 2012 / SET. 2015</t>
  </si>
  <si>
    <t>TÉCNICO EM INFORMÁTICA - PRESENCIAL - INTEGRADO - MAR. 2012 / SET. 2015</t>
  </si>
  <si>
    <t>TÉCNICO EM HOSPEDAGEM - PRESENCIAL - SUBSEQUENTE - MAR. 2012 / SET. 2013</t>
  </si>
  <si>
    <t>TÉCNICO EM SANEAMENTO - PRESENCIAL - SUBSEQUENTE - SET. 2012 / SET. 2014</t>
  </si>
  <si>
    <t>OPERADOR DE COMPUTADOR - PRESENCIAL - CONCOMITANTE - NOV. 2013 / JAN. 2014</t>
  </si>
  <si>
    <t>OPERADOR DE COMP. 02 - PRESENCIAL - CONCOMITANTE - NOV. 2013 / JAN. 2014</t>
  </si>
  <si>
    <t>TÉCNICO EM HOSPEDAGEM - PRESENCIAL - SUBSEQUENTE - SET. 2013 / MAR. 2015</t>
  </si>
  <si>
    <t>TÉCNICO EM AQÜICULTURA - PRESENCIAL - SUBSEQUENTE - SET. 2013 / MAR. 2015</t>
  </si>
  <si>
    <t>TÉCNICO EM AGROPECUÁRIA - PRESENCIAL - SUBSEQUENTE - SET. 2013 / SET. 2015</t>
  </si>
  <si>
    <t>TÉCNICO EM PESCA - A DISTÂNCIA - SUBSEQUENTE - MAR. 2012 / DEZ. 2014</t>
  </si>
  <si>
    <t>TÉCNICO EM SANEAMENTO - PRESENCIAL - SUBSEQUENTE - AGO. 2014 / JUN. 2016</t>
  </si>
  <si>
    <t>TÉCNICO EM AQÜICULTURA - PRESENCIAL - SUBSEQUENTE - AGO. 2014 / DEZ. 2015</t>
  </si>
  <si>
    <t>TÉCNICO EM HOSPEDAGEM - PRESENCIAL - SUBSEQUENTE - AGO. 2014 / DEZ. 2015</t>
  </si>
  <si>
    <t>TÉCNICO EM AGROPECUÁRIA - PRESENCIAL - INTEGRADO - FEV. 2014 / JUN. 2017</t>
  </si>
  <si>
    <t>TÉCNICO EM SANEAMENTO - A DISTÂNCIA - SUBSEQUENTE - AGO. 2011 / DEZ. 2014 - EMEF ZELINDA DE SOUSA GUIMARAES - POLO JURUTI</t>
  </si>
  <si>
    <t>TÉCNICO EM EDIFICAÇÕES - PRESENCIAL - INTEGRADO - FEV. 2014 / JUN. 2017</t>
  </si>
  <si>
    <t>TÉCNICO EM INFORMÁTICA - PRESENCIAL - INTEGRADO - FEV. 2014 / JUN. 2017</t>
  </si>
  <si>
    <t>TÉCNICO EM AGROPECUÁRIA - PRESENCIAL - INTEGRADO - MAR. 2015 / JUN. 2018</t>
  </si>
  <si>
    <t>TÉCNICO EM EDIFICAÇÕES - PRESENCIAL - INTEGRADO - MAR. 2015 / JUN. 2018</t>
  </si>
  <si>
    <t>TÉCNICO EM EDIFICAÇÕES - PRESENCIAL - SUBSEQUENTE - MAR. 2016 / DEZ. 2017</t>
  </si>
  <si>
    <t>TÉCNICO EM SANEAMENTO - PRESENCIAL - SUBSEQUENTE - MAR. 2016 / DEZ. 2017</t>
  </si>
  <si>
    <t>TÉCNICO EM AGROPECUÁRIA - PRESENCIAL - INTEGRADO - MAR. 2016 / JUN. 2019</t>
  </si>
  <si>
    <t>RECEPCIONISTA EM MEIOS DE HOSPEDAGEM</t>
  </si>
  <si>
    <t>RECEPCIONISTA EM MEIOS DE HOSPEDAGEM - PRESENCIAL - JUN. 2016 / DEZ. 2016</t>
  </si>
  <si>
    <t>TÉCNICO EM EDIFICAÇÕES - PRESENCIAL - INTEGRADO - MAR. 2017 / MAR. 2020</t>
  </si>
  <si>
    <t>TÉCNICO EM AQUICULTURA - PRESENCIAL - SUBSEQUENTE - MAR. 2017 / SET. 2018</t>
  </si>
  <si>
    <t>TÉCNICO EM AGROPECUÁRIA - PRESENCIAL - INTEGRADO - MAR. 2017 / MAR. 2020</t>
  </si>
  <si>
    <t>TÉCNICO EM GUIA DE TURISMO - PRESENCIAL - SUBSEQUENTE - MAR. 2017 / SET. 2018</t>
  </si>
  <si>
    <t>TÉCNICO EM SANEAMENTO - PRESENCIAL - SUBSEQUENTE - MAR. 2017 / FEV. 2019</t>
  </si>
  <si>
    <t>TÉCNICO EM HOSPEDAGEM - PRESENCIAL - PROEJA - INTEGRADO - ABR. 2017 / FEV. 2020</t>
  </si>
  <si>
    <t>TÉCNICO EM ELETROTÉCNICA - PRESENCIAL - INTEGRADO - FEV. 2010 / DEZ. 2013</t>
  </si>
  <si>
    <t>BIOLOGIA - PRESENCIAL - JUN. 2010 / DEZ. 2013</t>
  </si>
  <si>
    <t>TÉCNICO EM SANEAMENTO - PRESENCIAL - INTEGRADO - FEV. 2011 / DEZ. 2014</t>
  </si>
  <si>
    <t>TÉCNICO EM ELETROTÉCNICA - PRESENCIAL - INTEGRADO - FEV. 2011 / DEZ. 2014</t>
  </si>
  <si>
    <t>BIOLOGIA - PRESENCIAL - FEV. 2011 / DEZ. 2013</t>
  </si>
  <si>
    <t>COMPUTAÇÃO - PRESENCIAL - JUL. 2011 / AGOSTO 2014</t>
  </si>
  <si>
    <t>REDES DE COMPUTADORES</t>
  </si>
  <si>
    <t>REDES DE COMPUTADORES - PRESENCIAL - MAR. 2012 / DEZ. 2014</t>
  </si>
  <si>
    <t>TÉCNICO EM ELETROTÉCNICA - PRESENCIAL - INTEGRADO - MAR. 2012 / DEZ. 2015</t>
  </si>
  <si>
    <t>TÉCNICO EM MANUTENÇÃO E SUPORTE EM INFORMÁTICA - PRESENCIAL - INTEGRADO - MAR. 2012 / JUN. 2015</t>
  </si>
  <si>
    <t>TÉCNICO EM AGRIMENSURA - PRESENCIAL - PROEJA - INTEGRADO - MAR. 2012 / JUN. 2015</t>
  </si>
  <si>
    <t>TÉCNICO EM MEIO AMBIENTE - PRESENCIAL - SUBSEQUENTE - AGO. 2012 / DEZ. 2013</t>
  </si>
  <si>
    <t>TÉCNICO EM EDIFICAÇÕES - PRESENCIAL - SUBSEQUENTE - AGO. 2012 / JUN. 2014</t>
  </si>
  <si>
    <t>TÉCNICO EM RECURSOS PESQUEIROS - PRESENCIAL - SUBSEQUENTE - AGO. 2012 / DEZ. 2013</t>
  </si>
  <si>
    <t>BIOLOGIA - PRESENCIAL - FEV. 2013 / DEZ. 2015</t>
  </si>
  <si>
    <t>REDES DE COMPUTADORES - PRESENCIAL - FEV. 2013 / DEZ. 2015</t>
  </si>
  <si>
    <t>SANEAMENTO AMBIENTAL - PRESENCIAL - FEV. 2013 / DEZ. 2015</t>
  </si>
  <si>
    <t>TÉCNICO EM ELETROTÉCNICA - PRESENCIAL - INTEGRADO - MAR. 2013 / DEZ. 2016</t>
  </si>
  <si>
    <t>TÉCNICO EM ELETROTÉCNICA - PRESENCIAL - SUBSEQUENTE - AGO. 2013 / JUL. 2015</t>
  </si>
  <si>
    <t>TÉCNICO EM MANUTENÇÃO E SUPORTE EM INFORMÁTICA - PRESENCIAL - SUBSEQUENTE - AGO. 2013 / DEZ. 2014</t>
  </si>
  <si>
    <t>TÉCNICO EM EDIFICAÇÕES - PRESENCIAL - SUBSEQUENTE - AGO. 2013 / JUL. 2015</t>
  </si>
  <si>
    <t>TÉCNICO EM AQÜICULTURA - PRESENCIAL - SUBSEQUENTE - AGO. 2013 / DEZ. 2014</t>
  </si>
  <si>
    <t>TÉCNICO EM ELETROTÉCNICA - PRESENCIAL - INTEGRADO - FEV. 2014 / DEZ. 2017</t>
  </si>
  <si>
    <t>TÉCNICO EM EDIFICAÇÕES - PRESENCIAL - INTEGRADO - FEV. 2014 / JUL. 2017</t>
  </si>
  <si>
    <t>TÉCNICO EM MANUTENÇÃO E SUPORTE EM INFORMÁTICA - PRESENCIAL - INTEGRADO - FEV. 2014 / JUL. 2017</t>
  </si>
  <si>
    <t>SANEAMENTO AMBIENTAL - PRESENCIAL - FEV. 2014 / DEZ. 2016</t>
  </si>
  <si>
    <t>CIÊNCIAS BIOLÓGICAS</t>
  </si>
  <si>
    <t>CIÊNCIAS BIOLÓGICAS - PRESENCIAL - MAR. 2014 / DEZ. 2016</t>
  </si>
  <si>
    <t>TÉCNICO EM EDIFICAÇÕES - PRESENCIAL - SUBSEQUENTE - SET. 2014 / SET. 2016</t>
  </si>
  <si>
    <t>TÉCNICO EM MEIO AMBIENTE - PRESENCIAL - SUBSEQUENTE - SET. 2014 / MAR. 2016</t>
  </si>
  <si>
    <t>TÉCNICO EM MANUTENÇÃO E SUPORTE EM INFORMÁTICA - PRESENCIAL - SUBSEQUENTE - SET. 2014 / MAR. 2016</t>
  </si>
  <si>
    <t>TÉCNICO EM INFORMÁTICA - A DISTÂNCIA - SUBSEQUENTE - OUT. 2014 / ABR. 2016 - EMEF ANÉSIO GUERRA - POLO GOIANESIA DO PARÁ</t>
  </si>
  <si>
    <t>TÉCNICO EM SECRETARIA ESCOLAR - A DISTÂNCIA - SUBSEQUENTE - OUT. 2014 / ABR. 2016 - POLO DE EDUCAÇÃO A DISTANCIA E-TEC BRASIL IFPA - POLO BREU BRANCO</t>
  </si>
  <si>
    <t>TÉCNICO EM ALIMENTAÇÃO ESCOLAR - A DISTÂNCIA - SUBSEQUENTE - OUT. 2014 / ABR. 2016 - EMEF ANÉSIO GUERRA - POLO GOIANESIA DO PARÁ</t>
  </si>
  <si>
    <t>TÉCNICO EM INFORMÁTICA - A DISTÂNCIA - SUBSEQUENTE - OUT. 2014 / ABR. 2016 - POLO DE EDUCAÇÃO A DISTANCIA E-TEC BRASIL IFPA - POLO BREU BRANCO</t>
  </si>
  <si>
    <t>TÉCNICO EM SECRETARIA ESCOLAR - A DISTÂNCIA - SUBSEQUENTE - OUT. 2014 / ABR. 2016 - EEEM PAPA PAULO VI - NOVO REPARTIMENTO</t>
  </si>
  <si>
    <t>TÉCNICO EM ALIMENTAÇÃO ESCOLAR - A DISTÂNCIA - SUBSEQUENTE - OUT. 2014 / ABR. 2016 - POLO DE EDUCAÇÃO A DISTANCIA E-TEC BRASIL IFPA - POLO BREU BRANCO</t>
  </si>
  <si>
    <t>TÉCNICO EM INFORMÁTICA - A DISTÂNCIA - SUBSEQUENTE - OUT. 2014 / ABR. 2016 - EEEM PAPA PAULO VI - NOVO REPARTIMENTO</t>
  </si>
  <si>
    <t>TÉCNICO EM SECRETARIA ESCOLAR - A DISTÂNCIA - SUBSEQUENTE - OUT. 2014 / ABR. 2016 - CAMPUS TUCURUÍ</t>
  </si>
  <si>
    <t>TÉCNICO EM SECRETARIA ESCOLAR - A DISTÂNCIA - SUBSEQUENTE - OUT. 2014 / ABR. 2016 - EMEF ANÉSIO GUERRA - POLO GOIANESIA DO PARÁ</t>
  </si>
  <si>
    <t>TÉCNICO EM ALIMENTAÇÃO ESCOLAR - A DISTÂNCIA - SUBSEQUENTE - OUT. 2014 / ABR. 2016 - CAMPUS TUCURUÍ</t>
  </si>
  <si>
    <t>TÉCNICO EM AQÜICULTURA - PRESENCIAL - PROEJA - INTEGRADO - ABR. 2014 / AGO. 2017</t>
  </si>
  <si>
    <t>TÉCNICO EM EDIFICAÇÕES - PRESENCIAL - INTEGRADO - MAR. 2015 / SET. 2018</t>
  </si>
  <si>
    <t>TÉCNICO EM SANEAMENTO - PRESENCIAL - INTEGRADO - MAR. 2015 / FEV. 2019</t>
  </si>
  <si>
    <t>TÉCNICO EM ELETROTÉCNICA - PRESENCIAL - INTEGRADO - MAR. 2015 / FEV. 2019</t>
  </si>
  <si>
    <t>TÉCNICO EM MANUTENÇÃO E SUPORTE EM INFORMÁTICA - PRESENCIAL - INTEGRADO - MAR. 2015 / SET. 2018</t>
  </si>
  <si>
    <t>CIÊNCIAS BIOLÓGICAS - PRESENCIAL - MAR. 2015 / FEV. 2018</t>
  </si>
  <si>
    <t>REDES DE COMPUTADORES - PRESENCIAL - MAR. 2015 / FEV. 2018</t>
  </si>
  <si>
    <t>SANEAMENTO AMBIENTAL - PRESENCIAL - MAR. 2015 / FEV. 2018</t>
  </si>
  <si>
    <t>TÉCNICO EM AQÜICULTURA - PRESENCIAL - PROEJA - INTEGRADO - MAR. 2015 / SET. 2018</t>
  </si>
  <si>
    <t>TÉCNICO EM AQUICULTURA - PRESENCIAL - SUBSEQUENTE - OUT. 2015 / MAR. 2017</t>
  </si>
  <si>
    <t>TÉCNICO EM ELETROTÉCNICA - PRESENCIAL - SUBSEQUENTE - OUT. 2015 / SET. 2017</t>
  </si>
  <si>
    <t>TÉCNICO EM EDIFICAÇÕES - PRESENCIAL - SUBSEQUENTE - OUT. 2015 / MAR. 2017</t>
  </si>
  <si>
    <t>TÉCNICO EM MANUTENÇÃO E SUPORTE EM INFORMÁTICA - PRESENCIAL - SUBSEQUENTE - OUT. 2015 / MAR. 2017</t>
  </si>
  <si>
    <t>TÉCNICO EM MEIO AMBIENTE - PRESENCIAL - SUBSEQUENTE - OUT. 2015 / MAR. 2017</t>
  </si>
  <si>
    <t>TÉCNICO EM EDIFICAÇÕES - PRESENCIAL - INTEGRADO - ABR. 2016 / DEZ. 2019</t>
  </si>
  <si>
    <t>TÉCNICO EM SANEAMENTO - PRESENCIAL - INTEGRADO - ABR. 2016 / JUN. 2020</t>
  </si>
  <si>
    <t>TÉCNICO EM ELETROTÉCNICA - PRESENCIAL - INTEGRADO - ABR. 2016 / JUN. 2020</t>
  </si>
  <si>
    <t>TÉCNICO EM MANUTENÇÃO E SUPORTE EM INFORMÁTICA - PRESENCIAL - INTEGRADO - ABR. 2016 / DEZ. 2019</t>
  </si>
  <si>
    <t>TÉCNICO EM AQUICULTURA - PRESENCIAL - PROEJA - INTEGRADO - ABR. 2016 / DEZ. 2019</t>
  </si>
  <si>
    <t>REDES DE COMPUTADORES - PRESENCIAL - ABR. 2016 / JUN. 2019</t>
  </si>
  <si>
    <t>SANEAMENTO AMBIENTAL - PRESENCIAL - ABR. 2016 / JUN. 2019</t>
  </si>
  <si>
    <t>CIÊNCIAS BIOLÓGICAS - PRESENCIAL - ABR. 2016 / JUN. 2019</t>
  </si>
  <si>
    <t>CIÊNCIAS BIOLÓGICAS - PRESENCIAL - MAI. 2017 / NOV. 2020</t>
  </si>
  <si>
    <t>SANEAMENTO AMBIENTAL - PRESENCIAL - MAI. 2017 / NOV. 2019</t>
  </si>
  <si>
    <t>TÉCNICO EM EDIFICAÇÕES - PRESENCIAL - INTEGRADO - MAI. 2017 / NOV. 2019</t>
  </si>
  <si>
    <t>TÉCNICO EM ELETROTÉCNICA - PRESENCIAL - INTEGRADO - MAI. 2017 / NOV. 2020</t>
  </si>
  <si>
    <t>TÉCNICO EM MEIO AMBIENTE - PRESENCIAL - INTEGRADO - MAI. 2017 / NOV. 2019</t>
  </si>
  <si>
    <t>TÉCNICO EM ELETROTÉCNICA - PRESENCIAL - SUBSEQUENTE - MAI. 2017 / MAI. 2018</t>
  </si>
  <si>
    <t>TÉCNICO EM MEIO AMBIENTE - PRESENCIAL - SUBSEQUENTE - MAI. 2017 / MAI. 2018</t>
  </si>
  <si>
    <t>TÉCNICO EM AGRIMENSURA - PRESENCIAL - INTEGRADO - MAI. 2017 / NOV. 2019</t>
  </si>
  <si>
    <t>TÉCNICO EM SANEAMENTO - PRESENCIAL - INTEGRADO - MAI. 2017 / NOV. 2019</t>
  </si>
  <si>
    <t>TÉCNICO EM MANUTENÇÃO E SUPORTE EM INFORMÁTICA - PRESENCIAL - INTEGRADO - MAI. 2017 / NOV. 2019</t>
  </si>
  <si>
    <t>TÉCNICO EM AQUICULTURA - PRESENCIAL - PROEJA - INTEGRADO - MAI. 2017 / NOV. 2019</t>
  </si>
  <si>
    <t>DOCÊNCIA PARA A EDUCAÇÃO PROFISSIONAL, CIENTÍFICA E TECNOLÓGICA - PRESENCIAL - MAI. 2017 / SET. 2017</t>
  </si>
</sst>
</file>

<file path=xl/styles.xml><?xml version="1.0" encoding="utf-8"?>
<styleSheet xmlns="http://schemas.openxmlformats.org/spreadsheetml/2006/main">
  <numFmts count="5">
    <numFmt numFmtId="164" formatCode="_-* #,##0.000_-;\-* #,##0.000_-;_-* &quot;-&quot;???_-;_-@_-"/>
    <numFmt numFmtId="165" formatCode="_-* #,##0.0_-;\-* #,##0.0_-;_-* &quot;-&quot;?_-;_-@_-"/>
    <numFmt numFmtId="166" formatCode="_-* #,##0.0000_-;\-* #,##0.0000_-;_-* &quot;-&quot;????_-;_-@_-"/>
    <numFmt numFmtId="167" formatCode="#,##0.0000"/>
    <numFmt numFmtId="168" formatCode="0.0000"/>
  </numFmts>
  <fonts count="8">
    <font>
      <sz val="11"/>
      <color rgb="FF000000"/>
      <name val="Calibri"/>
    </font>
    <font>
      <u/>
      <sz val="11"/>
      <color rgb="FF000000"/>
      <name val="Calibri"/>
    </font>
    <font>
      <u val="singleAccounting"/>
      <sz val="11"/>
      <color rgb="FF000000"/>
      <name val="Calibri"/>
    </font>
    <font>
      <sz val="8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6F2AA"/>
        <bgColor rgb="FFFFFFFF"/>
      </patternFill>
    </fill>
    <fill>
      <patternFill patternType="solid">
        <fgColor rgb="FFC2D69B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85">
    <xf numFmtId="0" fontId="0" fillId="2" borderId="0" xfId="0" applyFill="1"/>
    <xf numFmtId="0" fontId="0" fillId="2" borderId="0" xfId="0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165" fontId="0" fillId="2" borderId="0" xfId="0" applyNumberFormat="1" applyFill="1"/>
    <xf numFmtId="165" fontId="1" fillId="2" borderId="0" xfId="0" applyNumberFormat="1" applyFont="1" applyFill="1"/>
    <xf numFmtId="0" fontId="0" fillId="3" borderId="0" xfId="0" applyFill="1"/>
    <xf numFmtId="0" fontId="0" fillId="3" borderId="1" xfId="0" applyFill="1" applyBorder="1"/>
    <xf numFmtId="0" fontId="0" fillId="2" borderId="0" xfId="0" applyFill="1"/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164" fontId="0" fillId="5" borderId="4" xfId="0" applyNumberForma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165" fontId="0" fillId="5" borderId="5" xfId="0" applyNumberForma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6" fontId="0" fillId="2" borderId="0" xfId="0" applyNumberFormat="1" applyFill="1"/>
    <xf numFmtId="166" fontId="0" fillId="2" borderId="0" xfId="0" applyNumberFormat="1" applyFill="1"/>
    <xf numFmtId="0" fontId="0" fillId="2" borderId="0" xfId="0" applyFill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164" fontId="0" fillId="5" borderId="6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2" fillId="2" borderId="0" xfId="0" applyNumberFormat="1" applyFont="1" applyFill="1"/>
    <xf numFmtId="167" fontId="0" fillId="2" borderId="0" xfId="0" applyNumberFormat="1" applyFill="1"/>
    <xf numFmtId="14" fontId="0" fillId="2" borderId="0" xfId="0" applyNumberFormat="1" applyFill="1"/>
    <xf numFmtId="168" fontId="0" fillId="2" borderId="0" xfId="0" applyNumberFormat="1" applyFill="1"/>
    <xf numFmtId="0" fontId="1" fillId="2" borderId="0" xfId="0" applyFont="1" applyFill="1"/>
    <xf numFmtId="0" fontId="3" fillId="3" borderId="7" xfId="0" applyFont="1" applyFill="1" applyBorder="1" applyAlignment="1">
      <alignment horizontal="center" wrapText="1" shrinkToFit="1"/>
    </xf>
    <xf numFmtId="0" fontId="3" fillId="2" borderId="0" xfId="0" applyFont="1" applyFill="1" applyAlignment="1">
      <alignment horizontal="center" wrapText="1" shrinkToFit="1"/>
    </xf>
    <xf numFmtId="0" fontId="3" fillId="6" borderId="9" xfId="0" applyFont="1" applyFill="1" applyBorder="1" applyAlignment="1">
      <alignment horizontal="center" wrapText="1" shrinkToFit="1"/>
    </xf>
    <xf numFmtId="0" fontId="3" fillId="6" borderId="7" xfId="0" applyFont="1" applyFill="1" applyBorder="1" applyAlignment="1">
      <alignment horizontal="center" wrapText="1" shrinkToFit="1"/>
    </xf>
    <xf numFmtId="0" fontId="3" fillId="6" borderId="10" xfId="0" applyFont="1" applyFill="1" applyBorder="1" applyAlignment="1">
      <alignment horizontal="center" wrapText="1" shrinkToFit="1"/>
    </xf>
    <xf numFmtId="0" fontId="3" fillId="2" borderId="11" xfId="0" applyFont="1" applyFill="1" applyBorder="1" applyAlignment="1">
      <alignment horizontal="center" wrapText="1" shrinkToFit="1"/>
    </xf>
    <xf numFmtId="0" fontId="3" fillId="7" borderId="10" xfId="0" applyFont="1" applyFill="1" applyBorder="1" applyAlignment="1">
      <alignment horizontal="center" wrapText="1" shrinkToFit="1"/>
    </xf>
    <xf numFmtId="0" fontId="3" fillId="7" borderId="7" xfId="0" applyFont="1" applyFill="1" applyBorder="1" applyAlignment="1">
      <alignment horizontal="center" wrapText="1" shrinkToFit="1"/>
    </xf>
    <xf numFmtId="0" fontId="3" fillId="8" borderId="10" xfId="0" applyFont="1" applyFill="1" applyBorder="1" applyAlignment="1">
      <alignment horizontal="center" wrapText="1" shrinkToFit="1"/>
    </xf>
    <xf numFmtId="0" fontId="3" fillId="8" borderId="7" xfId="0" applyFont="1" applyFill="1" applyBorder="1" applyAlignment="1">
      <alignment horizontal="center" wrapText="1" shrinkToFit="1"/>
    </xf>
    <xf numFmtId="0" fontId="3" fillId="2" borderId="12" xfId="0" applyFont="1" applyFill="1" applyBorder="1" applyAlignment="1">
      <alignment horizontal="center" wrapText="1" shrinkToFit="1"/>
    </xf>
    <xf numFmtId="0" fontId="3" fillId="2" borderId="0" xfId="0" applyFont="1" applyFill="1" applyAlignment="1">
      <alignment horizontal="center" wrapText="1" shrinkToFit="1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3" fillId="12" borderId="7" xfId="0" applyFont="1" applyFill="1" applyBorder="1" applyAlignment="1">
      <alignment horizontal="center" wrapText="1" shrinkToFit="1"/>
    </xf>
    <xf numFmtId="0" fontId="3" fillId="12" borderId="8" xfId="0" applyFont="1" applyFill="1" applyBorder="1" applyAlignment="1">
      <alignment horizontal="center" wrapText="1" shrinkToFit="1"/>
    </xf>
    <xf numFmtId="14" fontId="0" fillId="10" borderId="0" xfId="0" applyNumberFormat="1" applyFill="1"/>
    <xf numFmtId="0" fontId="0" fillId="13" borderId="0" xfId="0" applyFill="1"/>
    <xf numFmtId="0" fontId="4" fillId="9" borderId="0" xfId="0" applyFont="1" applyFill="1"/>
    <xf numFmtId="0" fontId="4" fillId="10" borderId="0" xfId="0" applyFont="1" applyFill="1"/>
    <xf numFmtId="0" fontId="7" fillId="3" borderId="7" xfId="0" applyFont="1" applyFill="1" applyBorder="1" applyAlignment="1">
      <alignment horizontal="center" wrapText="1" shrinkToFit="1"/>
    </xf>
    <xf numFmtId="0" fontId="7" fillId="12" borderId="7" xfId="0" applyFont="1" applyFill="1" applyBorder="1" applyAlignment="1">
      <alignment horizontal="center" wrapText="1" shrinkToFit="1"/>
    </xf>
    <xf numFmtId="0" fontId="7" fillId="12" borderId="8" xfId="0" applyFont="1" applyFill="1" applyBorder="1" applyAlignment="1">
      <alignment horizontal="center" wrapText="1" shrinkToFit="1"/>
    </xf>
    <xf numFmtId="0" fontId="7" fillId="2" borderId="0" xfId="0" applyFont="1" applyFill="1" applyAlignment="1">
      <alignment horizontal="center" wrapText="1" shrinkToFit="1"/>
    </xf>
    <xf numFmtId="0" fontId="7" fillId="6" borderId="9" xfId="0" applyFont="1" applyFill="1" applyBorder="1" applyAlignment="1">
      <alignment horizontal="center" wrapText="1" shrinkToFit="1"/>
    </xf>
    <xf numFmtId="0" fontId="7" fillId="6" borderId="7" xfId="0" applyFont="1" applyFill="1" applyBorder="1" applyAlignment="1">
      <alignment horizontal="center" wrapText="1" shrinkToFit="1"/>
    </xf>
    <xf numFmtId="0" fontId="7" fillId="6" borderId="10" xfId="0" applyFont="1" applyFill="1" applyBorder="1" applyAlignment="1">
      <alignment horizontal="center" wrapText="1" shrinkToFit="1"/>
    </xf>
    <xf numFmtId="0" fontId="7" fillId="2" borderId="11" xfId="0" applyFont="1" applyFill="1" applyBorder="1" applyAlignment="1">
      <alignment horizontal="center" wrapText="1" shrinkToFit="1"/>
    </xf>
    <xf numFmtId="0" fontId="7" fillId="7" borderId="10" xfId="0" applyFont="1" applyFill="1" applyBorder="1" applyAlignment="1">
      <alignment horizontal="center" wrapText="1" shrinkToFit="1"/>
    </xf>
    <xf numFmtId="0" fontId="7" fillId="7" borderId="7" xfId="0" applyFont="1" applyFill="1" applyBorder="1" applyAlignment="1">
      <alignment horizontal="center" wrapText="1" shrinkToFit="1"/>
    </xf>
    <xf numFmtId="0" fontId="7" fillId="8" borderId="10" xfId="0" applyFont="1" applyFill="1" applyBorder="1" applyAlignment="1">
      <alignment horizontal="center" wrapText="1" shrinkToFit="1"/>
    </xf>
    <xf numFmtId="0" fontId="7" fillId="8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wrapText="1" shrinkToFit="1"/>
    </xf>
    <xf numFmtId="14" fontId="0" fillId="9" borderId="0" xfId="0" applyNumberFormat="1" applyFill="1"/>
    <xf numFmtId="14" fontId="0" fillId="11" borderId="0" xfId="0" applyNumberFormat="1" applyFill="1"/>
    <xf numFmtId="0" fontId="6" fillId="2" borderId="0" xfId="0" applyFont="1" applyFill="1"/>
    <xf numFmtId="0" fontId="5" fillId="13" borderId="0" xfId="0" applyFont="1" applyFill="1"/>
    <xf numFmtId="0" fontId="7" fillId="0" borderId="7" xfId="0" applyFont="1" applyFill="1" applyBorder="1" applyAlignment="1">
      <alignment horizontal="center" wrapText="1" shrinkToFit="1"/>
    </xf>
    <xf numFmtId="14" fontId="0" fillId="0" borderId="0" xfId="0" applyNumberFormat="1" applyFill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0" fillId="14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866775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133350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114300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1219200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1219200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676275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819150</xdr:colOff>
      <xdr:row>1</xdr:row>
      <xdr:rowOff>0</xdr:rowOff>
    </xdr:to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6957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2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"/>
  <sheetViews>
    <sheetView topLeftCell="A2" workbookViewId="0">
      <selection activeCell="S15" sqref="S15"/>
    </sheetView>
  </sheetViews>
  <sheetFormatPr defaultRowHeight="15"/>
  <cols>
    <col min="1" max="1" width="10.5703125" style="1" customWidth="1"/>
    <col min="2" max="2" width="17.28515625" style="1" customWidth="1"/>
    <col min="3" max="3" width="12.5703125" style="1" customWidth="1"/>
    <col min="4" max="4" width="41" style="1" customWidth="1"/>
    <col min="5" max="5" width="1.5703125" style="1" customWidth="1"/>
    <col min="6" max="6" width="15.7109375" style="2" customWidth="1"/>
    <col min="7" max="7" width="1.5703125" style="1" customWidth="1"/>
    <col min="8" max="8" width="15.7109375" style="3" customWidth="1"/>
    <col min="9" max="9" width="1.5703125" style="1" customWidth="1"/>
    <col min="10" max="10" width="15.7109375" style="2" customWidth="1"/>
    <col min="11" max="11" width="15.7109375" style="1" customWidth="1"/>
    <col min="12" max="12" width="15.7109375" style="5" customWidth="1"/>
    <col min="13" max="13" width="1.5703125" style="1" customWidth="1"/>
    <col min="14" max="14" width="15.7109375" style="2" customWidth="1"/>
    <col min="15" max="15" width="15.7109375" style="1" customWidth="1"/>
    <col min="16" max="16" width="15.7109375" style="5" customWidth="1"/>
    <col min="17" max="17" width="1.5703125" style="1" customWidth="1"/>
    <col min="18" max="18" width="15.7109375" style="2" customWidth="1"/>
    <col min="19" max="19" width="15.7109375" style="1" customWidth="1"/>
    <col min="20" max="20" width="15.7109375" style="5" customWidth="1"/>
    <col min="21" max="21" width="1.5703125" style="1" customWidth="1"/>
    <col min="22" max="22" width="15.7109375" style="22" customWidth="1"/>
    <col min="23" max="24" width="15.7109375" style="23" customWidth="1"/>
    <col min="25" max="25" width="1.7109375" style="1" customWidth="1"/>
    <col min="26" max="26" width="15.7109375" style="22" customWidth="1"/>
    <col min="27" max="28" width="15.7109375" style="23" customWidth="1"/>
    <col min="29" max="29" width="9.140625" style="1" customWidth="1"/>
  </cols>
  <sheetData>
    <row r="1" spans="1:28" ht="23.25" hidden="1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" t="s">
        <v>0</v>
      </c>
      <c r="G1" s="1" t="s">
        <v>0</v>
      </c>
      <c r="H1" s="3" t="s">
        <v>0</v>
      </c>
      <c r="I1" s="1" t="s">
        <v>0</v>
      </c>
      <c r="J1" s="4" t="s">
        <v>0</v>
      </c>
      <c r="K1" s="1" t="s">
        <v>0</v>
      </c>
      <c r="L1" s="30" t="s">
        <v>0</v>
      </c>
      <c r="M1" s="1" t="s">
        <v>0</v>
      </c>
      <c r="N1" s="2" t="s">
        <v>0</v>
      </c>
      <c r="O1" s="1" t="s">
        <v>0</v>
      </c>
      <c r="P1" s="5" t="s">
        <v>0</v>
      </c>
      <c r="Q1" s="1" t="s">
        <v>0</v>
      </c>
      <c r="R1" s="2" t="s">
        <v>0</v>
      </c>
      <c r="S1" s="1" t="s">
        <v>0</v>
      </c>
      <c r="T1" s="6" t="s">
        <v>0</v>
      </c>
      <c r="U1" s="1" t="s">
        <v>0</v>
      </c>
      <c r="V1" s="2" t="s">
        <v>0</v>
      </c>
      <c r="W1" s="1" t="s">
        <v>0</v>
      </c>
      <c r="X1" s="23" t="s">
        <v>0</v>
      </c>
      <c r="Y1" s="1" t="s">
        <v>0</v>
      </c>
      <c r="Z1" s="2" t="s">
        <v>0</v>
      </c>
      <c r="AA1" s="1" t="s">
        <v>0</v>
      </c>
      <c r="AB1" s="23" t="s">
        <v>0</v>
      </c>
    </row>
    <row r="2" spans="1:28" ht="40.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3" spans="1:28">
      <c r="A3" s="7"/>
      <c r="B3" s="7"/>
      <c r="C3" s="7"/>
      <c r="D3" s="8"/>
      <c r="E3" s="9"/>
      <c r="F3" s="25"/>
      <c r="G3" s="9"/>
      <c r="H3" s="26"/>
      <c r="I3" s="9"/>
      <c r="J3" s="10"/>
      <c r="K3" s="11" t="s">
        <v>1</v>
      </c>
      <c r="L3" s="12"/>
      <c r="M3" s="9"/>
      <c r="N3" s="10"/>
      <c r="O3" s="11" t="s">
        <v>2</v>
      </c>
      <c r="P3" s="12"/>
      <c r="Q3" s="9"/>
      <c r="R3" s="10"/>
      <c r="S3" s="11" t="s">
        <v>3</v>
      </c>
      <c r="T3" s="12"/>
      <c r="U3" s="9"/>
      <c r="V3" s="10"/>
      <c r="W3" s="11" t="s">
        <v>4</v>
      </c>
      <c r="X3" s="13"/>
      <c r="Y3" s="14"/>
      <c r="Z3" s="10"/>
      <c r="AA3" s="11" t="s">
        <v>5</v>
      </c>
      <c r="AB3" s="15"/>
    </row>
    <row r="4" spans="1:28" s="24" customFormat="1" ht="45" customHeight="1">
      <c r="A4" s="27" t="s">
        <v>6</v>
      </c>
      <c r="B4" s="27" t="s">
        <v>7</v>
      </c>
      <c r="C4" s="27" t="s">
        <v>8</v>
      </c>
      <c r="D4" s="28" t="s">
        <v>9</v>
      </c>
      <c r="E4" s="29"/>
      <c r="F4" s="16" t="s">
        <v>10</v>
      </c>
      <c r="G4" s="29"/>
      <c r="H4" s="17" t="s">
        <v>11</v>
      </c>
      <c r="I4" s="29"/>
      <c r="J4" s="18" t="s">
        <v>12</v>
      </c>
      <c r="K4" s="18" t="s">
        <v>13</v>
      </c>
      <c r="L4" s="19" t="s">
        <v>14</v>
      </c>
      <c r="M4" s="29"/>
      <c r="N4" s="18" t="s">
        <v>12</v>
      </c>
      <c r="O4" s="18" t="s">
        <v>13</v>
      </c>
      <c r="P4" s="19" t="s">
        <v>15</v>
      </c>
      <c r="Q4" s="29"/>
      <c r="R4" s="18" t="s">
        <v>12</v>
      </c>
      <c r="S4" s="18" t="s">
        <v>13</v>
      </c>
      <c r="T4" s="19" t="s">
        <v>16</v>
      </c>
      <c r="U4" s="29"/>
      <c r="V4" s="18" t="s">
        <v>12</v>
      </c>
      <c r="W4" s="18" t="s">
        <v>13</v>
      </c>
      <c r="X4" s="20" t="s">
        <v>17</v>
      </c>
      <c r="Y4" s="21"/>
      <c r="Z4" s="18" t="s">
        <v>18</v>
      </c>
      <c r="AA4" s="18" t="s">
        <v>13</v>
      </c>
      <c r="AB4" s="20" t="s">
        <v>19</v>
      </c>
    </row>
    <row r="5" spans="1:28">
      <c r="A5" s="1" t="s">
        <v>20</v>
      </c>
      <c r="B5" s="1" t="s">
        <v>21</v>
      </c>
      <c r="C5" s="1" t="s">
        <v>22</v>
      </c>
      <c r="D5" s="1" t="s">
        <v>23</v>
      </c>
      <c r="F5" s="2" t="s">
        <v>24</v>
      </c>
      <c r="H5" s="3">
        <v>0.66500000000000004</v>
      </c>
      <c r="J5" s="2">
        <f>SUMIF('CAMPUS ALTAMIRA'!E4:E100000,"ENSINO PRESENCIAL",'CAMPUS ALTAMIRA'!AC4:AC1000000)</f>
        <v>361</v>
      </c>
      <c r="K5" s="1">
        <f>SUMIF('CAMPUS ALTAMIRA'!E4:E1000000,"ENSINO PRESENCIAL",'CAMPUS ALTAMIRA'!AS4:AS1000000)</f>
        <v>388</v>
      </c>
      <c r="L5" s="5">
        <f t="shared" ref="L5:L22" si="0">AVERAGE(J5:K5)</f>
        <v>374.5</v>
      </c>
      <c r="N5" s="2">
        <f ca="1">SUMIF('CAMPUS ALTAMIRA'!E4:E1000000,"ENSINO A DISTÂNCIA",'CAMPUS ALTAMIRA'!AC4:AC100000)</f>
        <v>0</v>
      </c>
      <c r="O5" s="1">
        <f>SUMIF('CAMPUS ALTAMIRA'!E4:E1000000,"ENSINO A DISTÂNCIA",'CAMPUS ALTAMIRA'!AS4:AS1000000)</f>
        <v>0</v>
      </c>
      <c r="P5" s="5">
        <f t="shared" ref="P5:P22" ca="1" si="1">AVERAGE(N5:O5)</f>
        <v>0</v>
      </c>
      <c r="R5" s="2">
        <v>0</v>
      </c>
      <c r="S5" s="1">
        <v>0</v>
      </c>
      <c r="T5" s="5">
        <f t="shared" ref="T5:T22" si="2">AVERAGE(R5:S5)</f>
        <v>0</v>
      </c>
      <c r="V5" s="22">
        <f>SUMIF('CAMPUS ALTAMIRA'!E4:E1000000,"ENSINO PRESENCIAL",'CAMPUS ALTAMIRA'!AN4:AN1000000)</f>
        <v>444.01861215982541</v>
      </c>
      <c r="W5" s="23">
        <f>SUMIF('CAMPUS ALTAMIRA'!E4:E1000000,"ENSINO PRESENCIAL",'CAMPUS ALTAMIRA'!BD4:BD1000000)</f>
        <v>271.73133144081692</v>
      </c>
      <c r="X5" s="23">
        <f t="shared" ref="X5:X22" si="3">AVERAGE(V5:W5)</f>
        <v>357.87497180032119</v>
      </c>
      <c r="Z5" s="22">
        <f>SUMIF('CAMPUS ALTAMIRA'!E4:E1000000,"ENSINO A DISTÂNCIA",'CAMPUS ALTAMIRA'!AN4:AN1000000)</f>
        <v>0</v>
      </c>
      <c r="AA5" s="23">
        <f>SUMIF('CAMPUS ALTAMIRA'!E4:E1000000,"ENSINO A DISTÂNCIA",'CAMPUS ALTAMIRA'!BD4:BD1000000)</f>
        <v>0</v>
      </c>
      <c r="AB5" s="23">
        <f t="shared" ref="AB5:AB22" si="4">AVERAGE(Z5:AA5)</f>
        <v>0</v>
      </c>
    </row>
    <row r="6" spans="1:28">
      <c r="A6" s="1" t="s">
        <v>20</v>
      </c>
      <c r="B6" s="1" t="s">
        <v>25</v>
      </c>
      <c r="C6" s="1" t="s">
        <v>22</v>
      </c>
      <c r="D6" s="1" t="s">
        <v>26</v>
      </c>
      <c r="F6" s="2" t="s">
        <v>27</v>
      </c>
      <c r="H6" s="3">
        <v>0.71799999999999997</v>
      </c>
      <c r="J6" s="2">
        <f>SUMIF('CAMPUS ANANINDEUA'!E4:E100000,"ENSINO PRESENCIAL",'CAMPUS ANANINDEUA'!AC4:AC1000000)</f>
        <v>384</v>
      </c>
      <c r="K6" s="1">
        <f>SUMIF('CAMPUS ANANINDEUA'!E4:E1000000,"ENSINO PRESENCIAL",'CAMPUS ANANINDEUA'!AS4:AS1000000)</f>
        <v>384</v>
      </c>
      <c r="L6" s="5">
        <f t="shared" si="0"/>
        <v>384</v>
      </c>
      <c r="N6" s="2">
        <f ca="1">SUMIF('CAMPUS ANANINDEUA'!E4:E1000000,"ENSINO A DISTÂNCIA",'CAMPUS ANANINDEUA'!AC4:AC100000)</f>
        <v>0</v>
      </c>
      <c r="O6" s="1">
        <f>SUMIF('CAMPUS ANANINDEUA'!E4:E1000000,"ENSINO A DISTÂNCIA",'CAMPUS ANANINDEUA'!AS4:AS1000000)</f>
        <v>0</v>
      </c>
      <c r="P6" s="5">
        <f t="shared" ca="1" si="1"/>
        <v>0</v>
      </c>
      <c r="R6" s="2">
        <v>0</v>
      </c>
      <c r="S6" s="1">
        <v>0</v>
      </c>
      <c r="T6" s="5">
        <f t="shared" si="2"/>
        <v>0</v>
      </c>
      <c r="V6" s="22">
        <f>SUMIF('CAMPUS ANANINDEUA'!E4:E1000000,"ENSINO PRESENCIAL",'CAMPUS ANANINDEUA'!AN4:AN1000000)</f>
        <v>376.2696906717913</v>
      </c>
      <c r="W6" s="23">
        <f>SUMIF('CAMPUS ANANINDEUA'!E4:E1000000,"ENSINO PRESENCIAL",'CAMPUS ANANINDEUA'!BD4:BD1000000)</f>
        <v>561.61467868116756</v>
      </c>
      <c r="X6" s="23">
        <f t="shared" si="3"/>
        <v>468.94218467647943</v>
      </c>
      <c r="Z6" s="22">
        <f>SUMIF('CAMPUS ANANINDEUA'!E4:E1000000,"ENSINO A DISTÂNCIA",'CAMPUS ANANINDEUA'!AN4:AN1000000)</f>
        <v>0</v>
      </c>
      <c r="AA6" s="23">
        <f>SUMIF('CAMPUS ANANINDEUA'!E4:E1000000,"ENSINO A DISTÂNCIA",'CAMPUS ANANINDEUA'!BD4:BD1000000)</f>
        <v>0</v>
      </c>
      <c r="AB6" s="23">
        <f t="shared" si="4"/>
        <v>0</v>
      </c>
    </row>
    <row r="7" spans="1:28">
      <c r="A7" s="1" t="s">
        <v>20</v>
      </c>
      <c r="B7" s="1" t="s">
        <v>28</v>
      </c>
      <c r="C7" s="1" t="s">
        <v>22</v>
      </c>
      <c r="D7" s="1" t="s">
        <v>29</v>
      </c>
      <c r="F7" s="2" t="s">
        <v>24</v>
      </c>
      <c r="H7" s="3">
        <v>0.628</v>
      </c>
      <c r="J7" s="2">
        <f>SUMIF('CAMPUS ABAETETUBA'!E4:E100000,"ENSINO PRESENCIAL",'CAMPUS ABAETETUBA'!AC4:AC1000000)</f>
        <v>1309</v>
      </c>
      <c r="K7" s="1">
        <f>SUMIF('CAMPUS ABAETETUBA'!E4:E1000000,"ENSINO PRESENCIAL",'CAMPUS ABAETETUBA'!AS4:AS1000000)</f>
        <v>1637</v>
      </c>
      <c r="L7" s="5">
        <f t="shared" si="0"/>
        <v>1473</v>
      </c>
      <c r="N7" s="2">
        <f ca="1">SUMIF('CAMPUS ABAETETUBA'!E4:E1000000,"ENSINO A DISTÂNCIA",'CAMPUS ABAETETUBA'!AC4:AC100000)</f>
        <v>0</v>
      </c>
      <c r="O7" s="1">
        <f>SUMIF('CAMPUS ABAETETUBA'!E4:E1000000,"ENSINO A DISTÂNCIA",'CAMPUS ABAETETUBA'!AS4:AS1000000)</f>
        <v>0</v>
      </c>
      <c r="P7" s="5">
        <f t="shared" ca="1" si="1"/>
        <v>0</v>
      </c>
      <c r="R7" s="2">
        <v>0</v>
      </c>
      <c r="S7" s="1">
        <v>0</v>
      </c>
      <c r="T7" s="5">
        <f t="shared" si="2"/>
        <v>0</v>
      </c>
      <c r="V7" s="22">
        <f>SUMIF('CAMPUS ABAETETUBA'!E4:E1000000,"ENSINO PRESENCIAL",'CAMPUS ABAETETUBA'!AN4:AN1000000)</f>
        <v>2967.1522093887238</v>
      </c>
      <c r="W7" s="23">
        <f>SUMIF('CAMPUS ABAETETUBA'!E4:E1000000,"ENSINO PRESENCIAL",'CAMPUS ABAETETUBA'!BD4:BD1000000)</f>
        <v>2267.5628545348595</v>
      </c>
      <c r="X7" s="23">
        <f t="shared" si="3"/>
        <v>2617.3575319617917</v>
      </c>
      <c r="Z7" s="22">
        <f>SUMIF('CAMPUS ABAETETUBA'!E4:E1000000,"ENSINO A DISTÂNCIA",'CAMPUS ABAETETUBA'!AN4:AN1000000)</f>
        <v>0</v>
      </c>
      <c r="AA7" s="23">
        <f>SUMIF('CAMPUS ABAETETUBA'!E4:E1000000,"ENSINO A DISTÂNCIA",'CAMPUS ABAETETUBA'!BD4:BD1000000)</f>
        <v>0</v>
      </c>
      <c r="AB7" s="23">
        <f t="shared" si="4"/>
        <v>0</v>
      </c>
    </row>
    <row r="8" spans="1:28">
      <c r="A8" s="1" t="s">
        <v>20</v>
      </c>
      <c r="B8" s="1" t="s">
        <v>30</v>
      </c>
      <c r="C8" s="1" t="s">
        <v>22</v>
      </c>
      <c r="D8" s="1" t="s">
        <v>31</v>
      </c>
      <c r="F8" s="2" t="s">
        <v>27</v>
      </c>
      <c r="H8" s="3">
        <v>0.64400000000000002</v>
      </c>
      <c r="J8" s="2" t="e">
        <f>SUMIF(#REF!,"ENSINO PRESENCIAL",#REF!)</f>
        <v>#REF!</v>
      </c>
      <c r="K8" s="1" t="e">
        <f>SUMIF(#REF!,"ENSINO PRESENCIAL",#REF!)</f>
        <v>#REF!</v>
      </c>
      <c r="L8" s="5" t="e">
        <f t="shared" si="0"/>
        <v>#REF!</v>
      </c>
      <c r="N8" s="2" t="e">
        <f>SUMIF(#REF!,"ENSINO A DISTÂNCIA",#REF!)</f>
        <v>#REF!</v>
      </c>
      <c r="O8" s="1" t="e">
        <f>SUMIF(#REF!,"ENSINO A DISTÂNCIA",#REF!)</f>
        <v>#REF!</v>
      </c>
      <c r="P8" s="5" t="e">
        <f t="shared" si="1"/>
        <v>#REF!</v>
      </c>
      <c r="R8" s="2">
        <v>0</v>
      </c>
      <c r="S8" s="1">
        <v>0</v>
      </c>
      <c r="T8" s="5">
        <f t="shared" si="2"/>
        <v>0</v>
      </c>
      <c r="V8" s="22" t="e">
        <f>SUMIF(#REF!,"ENSINO PRESENCIAL",#REF!)</f>
        <v>#REF!</v>
      </c>
      <c r="W8" s="23" t="e">
        <f>SUMIF(#REF!,"ENSINO PRESENCIAL",#REF!)</f>
        <v>#REF!</v>
      </c>
      <c r="X8" s="23" t="e">
        <f t="shared" si="3"/>
        <v>#REF!</v>
      </c>
      <c r="Z8" s="22" t="e">
        <f>SUMIF(#REF!,"ENSINO A DISTÂNCIA",#REF!)</f>
        <v>#REF!</v>
      </c>
      <c r="AA8" s="23" t="e">
        <f>SUMIF(#REF!,"ENSINO A DISTÂNCIA",#REF!)</f>
        <v>#REF!</v>
      </c>
      <c r="AB8" s="23" t="e">
        <f t="shared" si="4"/>
        <v>#REF!</v>
      </c>
    </row>
    <row r="9" spans="1:28">
      <c r="A9" s="1" t="s">
        <v>20</v>
      </c>
      <c r="B9" s="1" t="s">
        <v>32</v>
      </c>
      <c r="C9" s="1" t="s">
        <v>22</v>
      </c>
      <c r="D9" s="1" t="s">
        <v>33</v>
      </c>
      <c r="F9" s="2" t="s">
        <v>24</v>
      </c>
      <c r="H9" s="3">
        <v>0.746</v>
      </c>
      <c r="J9" s="2">
        <f>SUMIF('CAMPUS BELEM'!E4:E100000,"ENSINO PRESENCIAL",'CAMPUS BELEM'!AC4:AC1000000)</f>
        <v>4104</v>
      </c>
      <c r="K9" s="1">
        <f>SUMIF('CAMPUS BELEM'!E4:E1000000,"ENSINO PRESENCIAL",'CAMPUS BELEM'!AS4:AS1000000)</f>
        <v>5088</v>
      </c>
      <c r="L9" s="5">
        <f t="shared" si="0"/>
        <v>4596</v>
      </c>
      <c r="N9" s="2">
        <f ca="1">SUMIF('CAMPUS BELEM'!E4:E1000000,"ENSINO A DISTÂNCIA",'CAMPUS BELEM'!AC4:AC100000)</f>
        <v>0</v>
      </c>
      <c r="O9" s="1">
        <f>SUMIF('CAMPUS BELEM'!E4:E1000000,"ENSINO A DISTÂNCIA",'CAMPUS BELEM'!AS4:AS1000000)</f>
        <v>0</v>
      </c>
      <c r="P9" s="5">
        <f t="shared" ca="1" si="1"/>
        <v>0</v>
      </c>
      <c r="R9" s="2">
        <v>0</v>
      </c>
      <c r="S9" s="1">
        <v>0</v>
      </c>
      <c r="T9" s="5">
        <f t="shared" si="2"/>
        <v>0</v>
      </c>
      <c r="V9" s="22">
        <f>SUMIF('CAMPUS BELEM'!E4:E1000000,"ENSINO PRESENCIAL",'CAMPUS BELEM'!AN4:AN1000000)</f>
        <v>7561.087228693269</v>
      </c>
      <c r="W9" s="23">
        <f>SUMIF('CAMPUS BELEM'!E4:E1000000,"ENSINO PRESENCIAL",'CAMPUS BELEM'!BD4:BD1000000)</f>
        <v>7552.7852778423266</v>
      </c>
      <c r="X9" s="23">
        <f t="shared" si="3"/>
        <v>7556.9362532677978</v>
      </c>
      <c r="Z9" s="22">
        <f>SUMIF('CAMPUS BELEM'!E4:E1000000,"ENSINO A DISTÂNCIA",'CAMPUS BELEM'!AN4:AN1000000)</f>
        <v>0</v>
      </c>
      <c r="AA9" s="23">
        <f>SUMIF('CAMPUS BELEM'!E4:E1000000,"ENSINO A DISTÂNCIA",'CAMPUS BELEM'!BD4:BD1000000)</f>
        <v>0</v>
      </c>
      <c r="AB9" s="23">
        <f t="shared" si="4"/>
        <v>0</v>
      </c>
    </row>
    <row r="10" spans="1:28">
      <c r="A10" s="1" t="s">
        <v>20</v>
      </c>
      <c r="B10" s="1" t="s">
        <v>34</v>
      </c>
      <c r="C10" s="1" t="s">
        <v>22</v>
      </c>
      <c r="D10" s="1" t="s">
        <v>35</v>
      </c>
      <c r="F10" s="2" t="s">
        <v>24</v>
      </c>
      <c r="H10" s="3">
        <v>0.6</v>
      </c>
      <c r="J10" s="2">
        <f>SUMIF('CAMPUS BRAGANCA'!E4:E100000,"ENSINO PRESENCIAL",'CAMPUS BRAGANCA'!AC4:AC1000000)</f>
        <v>1064</v>
      </c>
      <c r="K10" s="1">
        <f>SUMIF('CAMPUS BRAGANCA'!E4:E1000000,"ENSINO PRESENCIAL",'CAMPUS BRAGANCA'!AS4:AS1000000)</f>
        <v>1299</v>
      </c>
      <c r="L10" s="5">
        <f t="shared" si="0"/>
        <v>1181.5</v>
      </c>
      <c r="N10" s="2">
        <f ca="1">SUMIF('CAMPUS BRAGANCA'!E4:E1000000,"ENSINO A DISTÂNCIA",'CAMPUS BRAGANCA'!AC4:AC100000)</f>
        <v>0</v>
      </c>
      <c r="O10" s="1">
        <f>SUMIF('CAMPUS BRAGANCA'!E4:E1000000,"ENSINO A DISTÂNCIA",'CAMPUS BRAGANCA'!AS4:AS1000000)</f>
        <v>0</v>
      </c>
      <c r="P10" s="5">
        <f t="shared" ca="1" si="1"/>
        <v>0</v>
      </c>
      <c r="R10" s="2">
        <v>0</v>
      </c>
      <c r="S10" s="1">
        <v>0</v>
      </c>
      <c r="T10" s="5">
        <f t="shared" si="2"/>
        <v>0</v>
      </c>
      <c r="V10" s="22">
        <f>SUMIF('CAMPUS BRAGANCA'!E4:E1000000,"ENSINO PRESENCIAL",'CAMPUS BRAGANCA'!AN4:AN1000000)</f>
        <v>2031.0411087050729</v>
      </c>
      <c r="W10" s="23">
        <f>SUMIF('CAMPUS BRAGANCA'!E4:E1000000,"ENSINO PRESENCIAL",'CAMPUS BRAGANCA'!BD4:BD1000000)</f>
        <v>1980.6991985310738</v>
      </c>
      <c r="X10" s="23">
        <f t="shared" si="3"/>
        <v>2005.8701536180733</v>
      </c>
      <c r="Z10" s="22">
        <f>SUMIF('CAMPUS BRAGANCA'!E4:E1000000,"ENSINO A DISTÂNCIA",'CAMPUS BRAGANCA'!AN4:AN1000000)</f>
        <v>0</v>
      </c>
      <c r="AA10" s="23">
        <f>SUMIF('CAMPUS BRAGANCA'!E4:E1000000,"ENSINO A DISTÂNCIA",'CAMPUS BRAGANCA'!BD4:BD1000000)</f>
        <v>0</v>
      </c>
      <c r="AB10" s="23">
        <f t="shared" si="4"/>
        <v>0</v>
      </c>
    </row>
    <row r="11" spans="1:28">
      <c r="A11" s="1" t="s">
        <v>20</v>
      </c>
      <c r="B11" s="1" t="s">
        <v>36</v>
      </c>
      <c r="C11" s="1" t="s">
        <v>22</v>
      </c>
      <c r="D11" s="1" t="s">
        <v>37</v>
      </c>
      <c r="F11" s="2" t="s">
        <v>24</v>
      </c>
      <c r="H11" s="3">
        <v>0.503</v>
      </c>
      <c r="J11" s="2" t="e">
        <f>SUMIF(#REF!,"ENSINO PRESENCIAL",#REF!)</f>
        <v>#REF!</v>
      </c>
      <c r="K11" s="1" t="e">
        <f>SUMIF(#REF!,"ENSINO PRESENCIAL",#REF!)</f>
        <v>#REF!</v>
      </c>
      <c r="L11" s="5" t="e">
        <f t="shared" si="0"/>
        <v>#REF!</v>
      </c>
      <c r="N11" s="2" t="e">
        <f>SUMIF(#REF!,"ENSINO A DISTÂNCIA",#REF!)</f>
        <v>#REF!</v>
      </c>
      <c r="O11" s="1" t="e">
        <f>SUMIF(#REF!,"ENSINO A DISTÂNCIA",#REF!)</f>
        <v>#REF!</v>
      </c>
      <c r="P11" s="5" t="e">
        <f t="shared" si="1"/>
        <v>#REF!</v>
      </c>
      <c r="R11" s="2">
        <v>0</v>
      </c>
      <c r="S11" s="1">
        <v>0</v>
      </c>
      <c r="T11" s="5">
        <f t="shared" si="2"/>
        <v>0</v>
      </c>
      <c r="V11" s="22" t="e">
        <f>SUMIF(#REF!,"ENSINO PRESENCIAL",#REF!)</f>
        <v>#REF!</v>
      </c>
      <c r="W11" s="23" t="e">
        <f>SUMIF(#REF!,"ENSINO PRESENCIAL",#REF!)</f>
        <v>#REF!</v>
      </c>
      <c r="X11" s="23" t="e">
        <f t="shared" si="3"/>
        <v>#REF!</v>
      </c>
      <c r="Z11" s="22" t="e">
        <f>SUMIF(#REF!,"ENSINO A DISTÂNCIA",#REF!)</f>
        <v>#REF!</v>
      </c>
      <c r="AA11" s="23" t="e">
        <f>SUMIF(#REF!,"ENSINO A DISTÂNCIA",#REF!)</f>
        <v>#REF!</v>
      </c>
      <c r="AB11" s="23" t="e">
        <f t="shared" si="4"/>
        <v>#REF!</v>
      </c>
    </row>
    <row r="12" spans="1:28">
      <c r="A12" s="1" t="s">
        <v>20</v>
      </c>
      <c r="B12" s="1" t="s">
        <v>38</v>
      </c>
      <c r="C12" s="1" t="s">
        <v>22</v>
      </c>
      <c r="D12" s="1" t="s">
        <v>39</v>
      </c>
      <c r="F12" s="2" t="s">
        <v>27</v>
      </c>
      <c r="H12" s="3">
        <v>0.57699999999999996</v>
      </c>
      <c r="J12" s="2" t="e">
        <f>SUMIF(#REF!,"ENSINO PRESENCIAL",#REF!)</f>
        <v>#REF!</v>
      </c>
      <c r="K12" s="1" t="e">
        <f>SUMIF(#REF!,"ENSINO PRESENCIAL",#REF!)</f>
        <v>#REF!</v>
      </c>
      <c r="L12" s="5" t="e">
        <f t="shared" si="0"/>
        <v>#REF!</v>
      </c>
      <c r="N12" s="2" t="e">
        <f>SUMIF(#REF!,"ENSINO A DISTÂNCIA",#REF!)</f>
        <v>#REF!</v>
      </c>
      <c r="O12" s="1" t="e">
        <f>SUMIF(#REF!,"ENSINO A DISTÂNCIA",#REF!)</f>
        <v>#REF!</v>
      </c>
      <c r="P12" s="5" t="e">
        <f t="shared" si="1"/>
        <v>#REF!</v>
      </c>
      <c r="R12" s="2">
        <v>0</v>
      </c>
      <c r="S12" s="1">
        <v>0</v>
      </c>
      <c r="T12" s="5">
        <f t="shared" si="2"/>
        <v>0</v>
      </c>
      <c r="V12" s="22" t="e">
        <f>SUMIF(#REF!,"ENSINO PRESENCIAL",#REF!)</f>
        <v>#REF!</v>
      </c>
      <c r="W12" s="23" t="e">
        <f>SUMIF(#REF!,"ENSINO PRESENCIAL",#REF!)</f>
        <v>#REF!</v>
      </c>
      <c r="X12" s="23" t="e">
        <f t="shared" si="3"/>
        <v>#REF!</v>
      </c>
      <c r="Z12" s="22" t="e">
        <f>SUMIF(#REF!,"ENSINO A DISTÂNCIA",#REF!)</f>
        <v>#REF!</v>
      </c>
      <c r="AA12" s="23" t="e">
        <f>SUMIF(#REF!,"ENSINO A DISTÂNCIA",#REF!)</f>
        <v>#REF!</v>
      </c>
      <c r="AB12" s="23" t="e">
        <f t="shared" si="4"/>
        <v>#REF!</v>
      </c>
    </row>
    <row r="13" spans="1:28">
      <c r="A13" s="1" t="s">
        <v>20</v>
      </c>
      <c r="B13" s="1" t="s">
        <v>40</v>
      </c>
      <c r="C13" s="1" t="s">
        <v>22</v>
      </c>
      <c r="D13" s="1" t="s">
        <v>41</v>
      </c>
      <c r="F13" s="2" t="s">
        <v>24</v>
      </c>
      <c r="H13" s="3">
        <v>0.67300000000000004</v>
      </c>
      <c r="J13" s="2">
        <f>SUMIF('CAMPUS CASTANHAL'!E4:E100000,"ENSINO PRESENCIAL",'CAMPUS CASTANHAL'!AC4:AC1000000)</f>
        <v>1770</v>
      </c>
      <c r="K13" s="1">
        <f>SUMIF('CAMPUS CASTANHAL'!E4:E1000000,"ENSINO PRESENCIAL",'CAMPUS CASTANHAL'!AS4:AS1000000)</f>
        <v>1483</v>
      </c>
      <c r="L13" s="5">
        <f t="shared" si="0"/>
        <v>1626.5</v>
      </c>
      <c r="N13" s="2">
        <f ca="1">SUMIF('CAMPUS CASTANHAL'!E4:E1000000,"ENSINO A DISTÂNCIA",'CAMPUS CASTANHAL'!AC4:AC100000)</f>
        <v>0</v>
      </c>
      <c r="O13" s="1">
        <f>SUMIF('CAMPUS CASTANHAL'!E4:E1000000,"ENSINO A DISTÂNCIA",'CAMPUS CASTANHAL'!AS4:AS1000000)</f>
        <v>0</v>
      </c>
      <c r="P13" s="5">
        <f t="shared" ca="1" si="1"/>
        <v>0</v>
      </c>
      <c r="R13" s="2">
        <v>254</v>
      </c>
      <c r="S13" s="1">
        <v>254</v>
      </c>
      <c r="T13" s="5">
        <f t="shared" si="2"/>
        <v>254</v>
      </c>
      <c r="V13" s="22">
        <f>SUMIF('CAMPUS CASTANHAL'!E4:E1000000,"ENSINO PRESENCIAL",'CAMPUS CASTANHAL'!AN4:AN1000000)</f>
        <v>7188.0713469515158</v>
      </c>
      <c r="W13" s="23">
        <f>SUMIF('CAMPUS CASTANHAL'!E4:E1000000,"ENSINO PRESENCIAL",'CAMPUS CASTANHAL'!BD4:BD1000000)</f>
        <v>5361.3658380595371</v>
      </c>
      <c r="X13" s="23">
        <f t="shared" si="3"/>
        <v>6274.7185925055264</v>
      </c>
      <c r="Z13" s="22">
        <f>SUMIF('CAMPUS CASTANHAL'!E4:E1000000,"ENSINO A DISTÂNCIA",'CAMPUS CASTANHAL'!AN4:AN1000000)</f>
        <v>0</v>
      </c>
      <c r="AA13" s="23">
        <f>SUMIF('CAMPUS CASTANHAL'!E4:E1000000,"ENSINO A DISTÂNCIA",'CAMPUS CASTANHAL'!BD4:BD1000000)</f>
        <v>0</v>
      </c>
      <c r="AB13" s="23">
        <f t="shared" si="4"/>
        <v>0</v>
      </c>
    </row>
    <row r="14" spans="1:28">
      <c r="A14" s="1" t="s">
        <v>20</v>
      </c>
      <c r="B14" s="1" t="s">
        <v>42</v>
      </c>
      <c r="C14" s="1" t="s">
        <v>22</v>
      </c>
      <c r="D14" s="1" t="s">
        <v>43</v>
      </c>
      <c r="F14" s="2" t="s">
        <v>24</v>
      </c>
      <c r="H14" s="3">
        <v>0.64</v>
      </c>
      <c r="J14" s="2">
        <f>SUMIF('CAMPUS CONCEICAO DO ARAGUAIA'!E4:E100000,"ENSINO PRESENCIAL",'CAMPUS CONCEICAO DO ARAGUAIA'!AC4:AC1000000)</f>
        <v>728</v>
      </c>
      <c r="K14" s="1">
        <f>SUMIF('CAMPUS CONCEICAO DO ARAGUAIA'!E4:E1000000,"ENSINO PRESENCIAL",'CAMPUS CONCEICAO DO ARAGUAIA'!AS4:AS1000000)</f>
        <v>1008</v>
      </c>
      <c r="L14" s="5">
        <f t="shared" si="0"/>
        <v>868</v>
      </c>
      <c r="N14" s="2">
        <f ca="1">SUMIF('CAMPUS CONCEICAO DO ARAGUAIA'!E4:E1000000,"ENSINO A DISTÂNCIA",'CAMPUS CONCEICAO DO ARAGUAIA'!AC4:AC100000)</f>
        <v>0</v>
      </c>
      <c r="O14" s="1">
        <f>SUMIF('CAMPUS CONCEICAO DO ARAGUAIA'!E4:E1000000,"ENSINO A DISTÂNCIA",'CAMPUS CONCEICAO DO ARAGUAIA'!AS4:AS1000000)</f>
        <v>0</v>
      </c>
      <c r="P14" s="5">
        <f t="shared" ca="1" si="1"/>
        <v>0</v>
      </c>
      <c r="R14" s="2">
        <v>0</v>
      </c>
      <c r="S14" s="1">
        <v>0</v>
      </c>
      <c r="T14" s="5">
        <f t="shared" si="2"/>
        <v>0</v>
      </c>
      <c r="V14" s="22">
        <f>SUMIF('CAMPUS CONCEICAO DO ARAGUAIA'!E4:E1000000,"ENSINO PRESENCIAL",'CAMPUS CONCEICAO DO ARAGUAIA'!AN4:AN1000000)</f>
        <v>1431.651655031103</v>
      </c>
      <c r="W14" s="23">
        <f>SUMIF('CAMPUS CONCEICAO DO ARAGUAIA'!E4:E1000000,"ENSINO PRESENCIAL",'CAMPUS CONCEICAO DO ARAGUAIA'!BD4:BD1000000)</f>
        <v>1242.6644112246354</v>
      </c>
      <c r="X14" s="23">
        <f t="shared" si="3"/>
        <v>1337.1580331278692</v>
      </c>
      <c r="Z14" s="22">
        <f>SUMIF('CAMPUS CONCEICAO DO ARAGUAIA'!E4:E1000000,"ENSINO A DISTÂNCIA",'CAMPUS CONCEICAO DO ARAGUAIA'!AN4:AN1000000)</f>
        <v>0</v>
      </c>
      <c r="AA14" s="23">
        <f>SUMIF('CAMPUS CONCEICAO DO ARAGUAIA'!E4:E1000000,"ENSINO A DISTÂNCIA",'CAMPUS CONCEICAO DO ARAGUAIA'!BD4:BD1000000)</f>
        <v>0</v>
      </c>
      <c r="AB14" s="23">
        <f t="shared" si="4"/>
        <v>0</v>
      </c>
    </row>
    <row r="15" spans="1:28">
      <c r="A15" s="1" t="s">
        <v>20</v>
      </c>
      <c r="B15" s="1" t="s">
        <v>44</v>
      </c>
      <c r="C15" s="1" t="s">
        <v>22</v>
      </c>
      <c r="D15" s="1" t="s">
        <v>45</v>
      </c>
      <c r="F15" s="2" t="s">
        <v>24</v>
      </c>
      <c r="H15" s="3">
        <v>0.64</v>
      </c>
      <c r="J15" s="2" t="e">
        <f>SUMIF(#REF!,"ENSINO PRESENCIAL",#REF!)</f>
        <v>#REF!</v>
      </c>
      <c r="K15" s="1" t="e">
        <f>SUMIF(#REF!,"ENSINO PRESENCIAL",#REF!)</f>
        <v>#REF!</v>
      </c>
      <c r="L15" s="5" t="e">
        <f t="shared" si="0"/>
        <v>#REF!</v>
      </c>
      <c r="N15" s="2" t="e">
        <f>SUMIF(#REF!,"ENSINO A DISTÂNCIA",#REF!)</f>
        <v>#REF!</v>
      </c>
      <c r="O15" s="1" t="e">
        <f>SUMIF(#REF!,"ENSINO A DISTÂNCIA",#REF!)</f>
        <v>#REF!</v>
      </c>
      <c r="P15" s="5" t="e">
        <f t="shared" si="1"/>
        <v>#REF!</v>
      </c>
      <c r="R15" s="2">
        <v>0</v>
      </c>
      <c r="S15" s="1">
        <v>0</v>
      </c>
      <c r="T15" s="5">
        <f t="shared" si="2"/>
        <v>0</v>
      </c>
      <c r="V15" s="22" t="e">
        <f>SUMIF(#REF!,"ENSINO PRESENCIAL",#REF!)</f>
        <v>#REF!</v>
      </c>
      <c r="W15" s="23" t="e">
        <f>SUMIF(#REF!,"ENSINO PRESENCIAL",#REF!)</f>
        <v>#REF!</v>
      </c>
      <c r="X15" s="23" t="e">
        <f t="shared" si="3"/>
        <v>#REF!</v>
      </c>
      <c r="Z15" s="22" t="e">
        <f>SUMIF(#REF!,"ENSINO A DISTÂNCIA",#REF!)</f>
        <v>#REF!</v>
      </c>
      <c r="AA15" s="23" t="e">
        <f>SUMIF(#REF!,"ENSINO A DISTÂNCIA",#REF!)</f>
        <v>#REF!</v>
      </c>
      <c r="AB15" s="23" t="e">
        <f t="shared" si="4"/>
        <v>#REF!</v>
      </c>
    </row>
    <row r="16" spans="1:28">
      <c r="A16" s="1" t="s">
        <v>20</v>
      </c>
      <c r="B16" s="1" t="s">
        <v>46</v>
      </c>
      <c r="C16" s="1" t="s">
        <v>22</v>
      </c>
      <c r="D16" s="1" t="s">
        <v>47</v>
      </c>
      <c r="F16" s="2" t="s">
        <v>24</v>
      </c>
      <c r="H16" s="3">
        <v>0.66800000000000004</v>
      </c>
      <c r="J16" s="2">
        <f>SUMIF('CAMPUS MARABA RURAL'!E4:E100000,"ENSINO PRESENCIAL",'CAMPUS MARABA RURAL'!AC4:AC1000000)</f>
        <v>905</v>
      </c>
      <c r="K16" s="1">
        <f>SUMIF('CAMPUS MARABA RURAL'!E4:E1000000,"ENSINO PRESENCIAL",'CAMPUS MARABA RURAL'!AS4:AS1000000)</f>
        <v>775</v>
      </c>
      <c r="L16" s="5">
        <f t="shared" si="0"/>
        <v>840</v>
      </c>
      <c r="N16" s="2">
        <f ca="1">SUMIF('CAMPUS MARABA RURAL'!E4:E1000000,"ENSINO A DISTÂNCIA",'CAMPUS MARABA RURAL'!AC4:AC100000)</f>
        <v>0</v>
      </c>
      <c r="O16" s="1">
        <f>SUMIF('CAMPUS MARABA RURAL'!E4:E1000000,"ENSINO A DISTÂNCIA",'CAMPUS MARABA RURAL'!AS4:AS1000000)</f>
        <v>0</v>
      </c>
      <c r="P16" s="5">
        <f t="shared" ca="1" si="1"/>
        <v>0</v>
      </c>
      <c r="R16" s="2">
        <v>242</v>
      </c>
      <c r="S16" s="1">
        <v>233</v>
      </c>
      <c r="T16" s="5">
        <f t="shared" si="2"/>
        <v>237.5</v>
      </c>
      <c r="V16" s="22">
        <f>SUMIF('CAMPUS MARABA RURAL'!E4:E1000000,"ENSINO PRESENCIAL",'CAMPUS MARABA RURAL'!AN4:AN1000000)</f>
        <v>2181.6700826159222</v>
      </c>
      <c r="W16" s="23">
        <f>SUMIF('CAMPUS MARABA RURAL'!E4:E1000000,"ENSINO PRESENCIAL",'CAMPUS MARABA RURAL'!BD4:BD1000000)</f>
        <v>1090.5245544017753</v>
      </c>
      <c r="X16" s="23">
        <f t="shared" si="3"/>
        <v>1636.0973185088487</v>
      </c>
      <c r="Z16" s="22">
        <f>SUMIF('CAMPUS MARABA RURAL'!E4:E1000000,"ENSINO A DISTÂNCIA",'CAMPUS MARABA RURAL'!AN4:AN1000000)</f>
        <v>0</v>
      </c>
      <c r="AA16" s="23">
        <f>SUMIF('CAMPUS MARABA RURAL'!E4:E1000000,"ENSINO A DISTÂNCIA",'CAMPUS MARABA RURAL'!BD4:BD1000000)</f>
        <v>0</v>
      </c>
      <c r="AB16" s="23">
        <f t="shared" si="4"/>
        <v>0</v>
      </c>
    </row>
    <row r="17" spans="1:28">
      <c r="A17" s="1" t="s">
        <v>20</v>
      </c>
      <c r="B17" s="1" t="s">
        <v>46</v>
      </c>
      <c r="C17" s="1" t="s">
        <v>22</v>
      </c>
      <c r="D17" s="1" t="s">
        <v>48</v>
      </c>
      <c r="F17" s="2" t="s">
        <v>24</v>
      </c>
      <c r="H17" s="3">
        <v>0.66800000000000004</v>
      </c>
      <c r="J17" s="2">
        <f>SUMIF('CAMPUS MARABA INDUSTRIAL'!E4:E100000,"ENSINO PRESENCIAL",'CAMPUS MARABA INDUSTRIAL'!AC4:AC1000000)</f>
        <v>672</v>
      </c>
      <c r="K17" s="1">
        <f>SUMIF('CAMPUS MARABA INDUSTRIAL'!E4:E1000000,"ENSINO PRESENCIAL",'CAMPUS MARABA INDUSTRIAL'!AS4:AS1000000)</f>
        <v>1158</v>
      </c>
      <c r="L17" s="5">
        <f t="shared" si="0"/>
        <v>915</v>
      </c>
      <c r="N17" s="2">
        <f ca="1">SUMIF('CAMPUS MARABA INDUSTRIAL'!E4:E1000000,"ENSINO A DISTÂNCIA",'CAMPUS MARABA INDUSTRIAL'!AC4:AC100000)</f>
        <v>0</v>
      </c>
      <c r="O17" s="1">
        <f>SUMIF('CAMPUS MARABA INDUSTRIAL'!E4:E1000000,"ENSINO A DISTÂNCIA",'CAMPUS MARABA INDUSTRIAL'!AS4:AS1000000)</f>
        <v>0</v>
      </c>
      <c r="P17" s="5">
        <f t="shared" ca="1" si="1"/>
        <v>0</v>
      </c>
      <c r="R17" s="2">
        <v>0</v>
      </c>
      <c r="S17" s="1">
        <v>0</v>
      </c>
      <c r="T17" s="5">
        <f t="shared" si="2"/>
        <v>0</v>
      </c>
      <c r="V17" s="22">
        <f>SUMIF('CAMPUS MARABA INDUSTRIAL'!E4:E1000000,"ENSINO PRESENCIAL",'CAMPUS MARABA INDUSTRIAL'!AN4:AN1000000)</f>
        <v>770.13244224752361</v>
      </c>
      <c r="W17" s="23">
        <f>SUMIF('CAMPUS MARABA INDUSTRIAL'!E4:E1000000,"ENSINO PRESENCIAL",'CAMPUS MARABA INDUSTRIAL'!BD4:BD1000000)</f>
        <v>1299.2917022057477</v>
      </c>
      <c r="X17" s="23">
        <f t="shared" si="3"/>
        <v>1034.7120722266357</v>
      </c>
      <c r="Z17" s="22">
        <f>SUMIF('CAMPUS MARABA INDUSTRIAL'!E4:E1000000,"ENSINO A DISTÂNCIA",'CAMPUS MARABA INDUSTRIAL'!AN4:AN1000000)</f>
        <v>0</v>
      </c>
      <c r="AA17" s="23">
        <f>SUMIF('CAMPUS MARABA INDUSTRIAL'!E4:E1000000,"ENSINO A DISTÂNCIA",'CAMPUS MARABA INDUSTRIAL'!BD4:BD1000000)</f>
        <v>0</v>
      </c>
      <c r="AB17" s="23">
        <f t="shared" si="4"/>
        <v>0</v>
      </c>
    </row>
    <row r="18" spans="1:28">
      <c r="A18" s="1" t="s">
        <v>20</v>
      </c>
      <c r="B18" s="1" t="s">
        <v>49</v>
      </c>
      <c r="C18" s="1" t="s">
        <v>22</v>
      </c>
      <c r="D18" s="1" t="s">
        <v>50</v>
      </c>
      <c r="F18" s="2" t="s">
        <v>27</v>
      </c>
      <c r="H18" s="3">
        <v>0.59399999999999997</v>
      </c>
      <c r="J18" s="2" t="e">
        <f>SUMIF(#REF!,"ENSINO PRESENCIAL",#REF!)</f>
        <v>#REF!</v>
      </c>
      <c r="K18" s="1" t="e">
        <f>SUMIF(#REF!,"ENSINO PRESENCIAL",#REF!)</f>
        <v>#REF!</v>
      </c>
      <c r="L18" s="5" t="e">
        <f t="shared" si="0"/>
        <v>#REF!</v>
      </c>
      <c r="N18" s="2" t="e">
        <f>SUMIF(#REF!,"ENSINO A DISTÂNCIA",#REF!)</f>
        <v>#REF!</v>
      </c>
      <c r="O18" s="1" t="e">
        <f>SUMIF(#REF!,"ENSINO A DISTÂNCIA",#REF!)</f>
        <v>#REF!</v>
      </c>
      <c r="P18" s="5" t="e">
        <f t="shared" si="1"/>
        <v>#REF!</v>
      </c>
      <c r="R18" s="2">
        <v>0</v>
      </c>
      <c r="S18" s="1">
        <v>0</v>
      </c>
      <c r="T18" s="5">
        <f t="shared" si="2"/>
        <v>0</v>
      </c>
      <c r="V18" s="22" t="e">
        <f>SUMIF(#REF!,"ENSINO PRESENCIAL",#REF!)</f>
        <v>#REF!</v>
      </c>
      <c r="W18" s="23" t="e">
        <f>SUMIF(#REF!,"ENSINO PRESENCIAL",#REF!)</f>
        <v>#REF!</v>
      </c>
      <c r="X18" s="23" t="e">
        <f t="shared" si="3"/>
        <v>#REF!</v>
      </c>
      <c r="Z18" s="22" t="e">
        <f>SUMIF(#REF!,"ENSINO A DISTÂNCIA",#REF!)</f>
        <v>#REF!</v>
      </c>
      <c r="AA18" s="23" t="e">
        <f>SUMIF(#REF!,"ENSINO A DISTÂNCIA",#REF!)</f>
        <v>#REF!</v>
      </c>
      <c r="AB18" s="23" t="e">
        <f t="shared" si="4"/>
        <v>#REF!</v>
      </c>
    </row>
    <row r="19" spans="1:28">
      <c r="A19" s="1" t="s">
        <v>20</v>
      </c>
      <c r="B19" s="1" t="s">
        <v>51</v>
      </c>
      <c r="C19" s="1" t="s">
        <v>22</v>
      </c>
      <c r="D19" s="1" t="s">
        <v>52</v>
      </c>
      <c r="F19" s="2" t="s">
        <v>27</v>
      </c>
      <c r="H19" s="3">
        <v>0.64500000000000002</v>
      </c>
      <c r="J19" s="2" t="e">
        <f>SUMIF(#REF!,"ENSINO PRESENCIAL",#REF!)</f>
        <v>#REF!</v>
      </c>
      <c r="K19" s="1" t="e">
        <f>SUMIF(#REF!,"ENSINO PRESENCIAL",#REF!)</f>
        <v>#REF!</v>
      </c>
      <c r="L19" s="5" t="e">
        <f t="shared" si="0"/>
        <v>#REF!</v>
      </c>
      <c r="N19" s="2" t="e">
        <f>SUMIF(#REF!,"ENSINO A DISTÂNCIA",#REF!)</f>
        <v>#REF!</v>
      </c>
      <c r="O19" s="1" t="e">
        <f>SUMIF(#REF!,"ENSINO A DISTÂNCIA",#REF!)</f>
        <v>#REF!</v>
      </c>
      <c r="P19" s="5" t="e">
        <f t="shared" si="1"/>
        <v>#REF!</v>
      </c>
      <c r="R19" s="2">
        <v>0</v>
      </c>
      <c r="S19" s="1">
        <v>0</v>
      </c>
      <c r="T19" s="5">
        <f t="shared" si="2"/>
        <v>0</v>
      </c>
      <c r="V19" s="22" t="e">
        <f>SUMIF(#REF!,"ENSINO PRESENCIAL",#REF!)</f>
        <v>#REF!</v>
      </c>
      <c r="W19" s="23" t="e">
        <f>SUMIF(#REF!,"ENSINO PRESENCIAL",#REF!)</f>
        <v>#REF!</v>
      </c>
      <c r="X19" s="23" t="e">
        <f t="shared" si="3"/>
        <v>#REF!</v>
      </c>
      <c r="Z19" s="22" t="e">
        <f>SUMIF(#REF!,"ENSINO A DISTÂNCIA",#REF!)</f>
        <v>#REF!</v>
      </c>
      <c r="AA19" s="23" t="e">
        <f>SUMIF(#REF!,"ENSINO A DISTÂNCIA",#REF!)</f>
        <v>#REF!</v>
      </c>
      <c r="AB19" s="23" t="e">
        <f t="shared" si="4"/>
        <v>#REF!</v>
      </c>
    </row>
    <row r="20" spans="1:28">
      <c r="A20" s="1" t="s">
        <v>20</v>
      </c>
      <c r="B20" s="1" t="s">
        <v>53</v>
      </c>
      <c r="C20" s="1" t="s">
        <v>22</v>
      </c>
      <c r="D20" s="1" t="s">
        <v>54</v>
      </c>
      <c r="F20" s="2" t="s">
        <v>24</v>
      </c>
      <c r="H20" s="3">
        <v>0.69099999999999995</v>
      </c>
      <c r="J20" s="2">
        <f>SUMIF('CAMPUS SANTAREM'!E4:E100000,"ENSINO PRESENCIAL",'CAMPUS SANTAREM'!AC4:AC1000000)</f>
        <v>1030</v>
      </c>
      <c r="K20" s="1">
        <f>SUMIF('CAMPUS SANTAREM'!E4:E1000000,"ENSINO PRESENCIAL",'CAMPUS SANTAREM'!AS4:AS1000000)</f>
        <v>800</v>
      </c>
      <c r="L20" s="5">
        <f t="shared" si="0"/>
        <v>915</v>
      </c>
      <c r="N20" s="2">
        <f ca="1">SUMIF('CAMPUS SANTAREM'!E4:E1000000,"ENSINO A DISTÂNCIA",'CAMPUS SANTAREM'!AC4:AC100000)</f>
        <v>0</v>
      </c>
      <c r="O20" s="1">
        <f>SUMIF('CAMPUS SANTAREM'!E4:E1000000,"ENSINO A DISTÂNCIA",'CAMPUS SANTAREM'!AS4:AS1000000)</f>
        <v>0</v>
      </c>
      <c r="P20" s="5">
        <f t="shared" ca="1" si="1"/>
        <v>0</v>
      </c>
      <c r="R20" s="2">
        <v>0</v>
      </c>
      <c r="S20" s="1">
        <v>0</v>
      </c>
      <c r="T20" s="5">
        <f t="shared" si="2"/>
        <v>0</v>
      </c>
      <c r="V20" s="22">
        <f>SUMIF('CAMPUS SANTAREM'!E4:E1000000,"ENSINO PRESENCIAL",'CAMPUS SANTAREM'!AN4:AN1000000)</f>
        <v>1726.7882865299168</v>
      </c>
      <c r="W20" s="23">
        <f>SUMIF('CAMPUS SANTAREM'!E4:E1000000,"ENSINO PRESENCIAL",'CAMPUS SANTAREM'!BD4:BD1000000)</f>
        <v>1865.3713165774236</v>
      </c>
      <c r="X20" s="23">
        <f t="shared" si="3"/>
        <v>1796.0798015536702</v>
      </c>
      <c r="Z20" s="22">
        <f>SUMIF('CAMPUS SANTAREM'!E4:E1000000,"ENSINO A DISTÂNCIA",'CAMPUS SANTAREM'!AN4:AN1000000)</f>
        <v>0</v>
      </c>
      <c r="AA20" s="23">
        <f>SUMIF('CAMPUS SANTAREM'!E4:E1000000,"ENSINO A DISTÂNCIA",'CAMPUS SANTAREM'!BD4:BD1000000)</f>
        <v>0</v>
      </c>
      <c r="AB20" s="23">
        <f t="shared" si="4"/>
        <v>0</v>
      </c>
    </row>
    <row r="21" spans="1:28">
      <c r="A21" s="1" t="s">
        <v>20</v>
      </c>
      <c r="B21" s="1" t="s">
        <v>55</v>
      </c>
      <c r="C21" s="1" t="s">
        <v>22</v>
      </c>
      <c r="D21" s="1" t="s">
        <v>56</v>
      </c>
      <c r="F21" s="2" t="s">
        <v>24</v>
      </c>
      <c r="H21" s="3">
        <v>0.66600000000000004</v>
      </c>
      <c r="J21" s="2">
        <f>SUMIF('CAMPUS TUCURUI'!E4:E100000,"ENSINO PRESENCIAL",'CAMPUS TUCURUI'!AC4:AC1000000)</f>
        <v>937</v>
      </c>
      <c r="K21" s="1">
        <f>SUMIF('CAMPUS TUCURUI'!E4:E1000000,"ENSINO PRESENCIAL",'CAMPUS TUCURUI'!AS4:AS1000000)</f>
        <v>1310</v>
      </c>
      <c r="L21" s="5">
        <f t="shared" si="0"/>
        <v>1123.5</v>
      </c>
      <c r="N21" s="2">
        <f ca="1">SUMIF('CAMPUS TUCURUI'!E4:E1000000,"ENSINO A DISTÂNCIA",'CAMPUS TUCURUI'!AC4:AC100000)</f>
        <v>0</v>
      </c>
      <c r="O21" s="1">
        <f>SUMIF('CAMPUS TUCURUI'!E4:E1000000,"ENSINO A DISTÂNCIA",'CAMPUS TUCURUI'!AS4:AS1000000)</f>
        <v>0</v>
      </c>
      <c r="P21" s="5">
        <f t="shared" ca="1" si="1"/>
        <v>0</v>
      </c>
      <c r="R21" s="2">
        <v>0</v>
      </c>
      <c r="S21" s="1">
        <v>0</v>
      </c>
      <c r="T21" s="5">
        <f t="shared" si="2"/>
        <v>0</v>
      </c>
      <c r="V21" s="22">
        <f>SUMIF('CAMPUS TUCURUI'!E4:E1000000,"ENSINO PRESENCIAL",'CAMPUS TUCURUI'!AN4:AN1000000)</f>
        <v>2304.210011127353</v>
      </c>
      <c r="W21" s="23">
        <f>SUMIF('CAMPUS TUCURUI'!E4:E1000000,"ENSINO PRESENCIAL",'CAMPUS TUCURUI'!BD4:BD1000000)</f>
        <v>2301.8043279623971</v>
      </c>
      <c r="X21" s="23">
        <f t="shared" si="3"/>
        <v>2303.0071695448751</v>
      </c>
      <c r="Z21" s="22">
        <f>SUMIF('CAMPUS TUCURUI'!E4:E1000000,"ENSINO A DISTÂNCIA",'CAMPUS TUCURUI'!AN4:AN1000000)</f>
        <v>0</v>
      </c>
      <c r="AA21" s="23">
        <f>SUMIF('CAMPUS TUCURUI'!E4:E1000000,"ENSINO A DISTÂNCIA",'CAMPUS TUCURUI'!BD4:BD1000000)</f>
        <v>0</v>
      </c>
      <c r="AB21" s="23">
        <f t="shared" si="4"/>
        <v>0</v>
      </c>
    </row>
    <row r="22" spans="1:28">
      <c r="A22" s="1" t="s">
        <v>20</v>
      </c>
      <c r="B22" s="1" t="s">
        <v>57</v>
      </c>
      <c r="C22" s="1" t="s">
        <v>22</v>
      </c>
      <c r="D22" s="1" t="s">
        <v>58</v>
      </c>
      <c r="F22" s="2" t="s">
        <v>59</v>
      </c>
      <c r="H22" s="3">
        <v>0.61699999999999999</v>
      </c>
      <c r="J22" s="2" t="e">
        <f>SUMIF(#REF!,"ENSINO PRESENCIAL",#REF!)</f>
        <v>#REF!</v>
      </c>
      <c r="K22" s="1" t="e">
        <f>SUMIF(#REF!,"ENSINO PRESENCIAL",#REF!)</f>
        <v>#REF!</v>
      </c>
      <c r="L22" s="5" t="e">
        <f t="shared" si="0"/>
        <v>#REF!</v>
      </c>
      <c r="N22" s="2" t="e">
        <f>SUMIF(#REF!,"ENSINO A DISTÂNCIA",#REF!)</f>
        <v>#REF!</v>
      </c>
      <c r="O22" s="1" t="e">
        <f>SUMIF(#REF!,"ENSINO A DISTÂNCIA",#REF!)</f>
        <v>#REF!</v>
      </c>
      <c r="P22" s="5" t="e">
        <f t="shared" si="1"/>
        <v>#REF!</v>
      </c>
      <c r="R22" s="2">
        <v>0</v>
      </c>
      <c r="S22" s="1">
        <v>0</v>
      </c>
      <c r="T22" s="5">
        <f t="shared" si="2"/>
        <v>0</v>
      </c>
      <c r="V22" s="22" t="e">
        <f>SUMIF(#REF!,"ENSINO PRESENCIAL",#REF!)</f>
        <v>#REF!</v>
      </c>
      <c r="W22" s="23" t="e">
        <f>SUMIF(#REF!,"ENSINO PRESENCIAL",#REF!)</f>
        <v>#REF!</v>
      </c>
      <c r="X22" s="23" t="e">
        <f t="shared" si="3"/>
        <v>#REF!</v>
      </c>
      <c r="Z22" s="22" t="e">
        <f>SUMIF(#REF!,"ENSINO A DISTÂNCIA",#REF!)</f>
        <v>#REF!</v>
      </c>
      <c r="AA22" s="23" t="e">
        <f>SUMIF(#REF!,"ENSINO A DISTÂNCIA",#REF!)</f>
        <v>#REF!</v>
      </c>
      <c r="AB22" s="23" t="e">
        <f t="shared" si="4"/>
        <v>#REF!</v>
      </c>
    </row>
    <row r="27" spans="1:28">
      <c r="D27" s="47"/>
    </row>
  </sheetData>
  <sheetProtection formatCells="0" formatColumns="0" formatRows="0" insertColumns="0" insertRows="0" insertHyperlinks="0" deleteColumns="0" deleteRows="0" sort="0" autoFilter="0" pivotTables="0"/>
  <mergeCells count="1">
    <mergeCell ref="A2:AB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E30"/>
  <sheetViews>
    <sheetView topLeftCell="I2" workbookViewId="0">
      <selection activeCell="N30" sqref="N30"/>
    </sheetView>
  </sheetViews>
  <sheetFormatPr defaultRowHeight="15"/>
  <cols>
    <col min="1" max="1" width="4" style="1" customWidth="1"/>
    <col min="2" max="2" width="10.5703125" style="1" customWidth="1"/>
    <col min="3" max="3" width="6.7109375" style="1" customWidth="1"/>
    <col min="4" max="4" width="2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0" width="9.85546875" style="1" customWidth="1"/>
    <col min="11" max="11" width="8.28515625" style="1" customWidth="1"/>
    <col min="12" max="12" width="9.140625" style="1" customWidth="1"/>
    <col min="13" max="13" width="12" style="1" customWidth="1"/>
    <col min="14" max="14" width="69.28515625" style="1" customWidth="1"/>
    <col min="15" max="16" width="15.7109375" style="32" customWidth="1"/>
    <col min="17" max="17" width="9.42578125" style="1" customWidth="1"/>
    <col min="18" max="18" width="7.42578125" style="1" customWidth="1"/>
    <col min="19" max="19" width="8.5703125" style="1" customWidth="1"/>
    <col min="20" max="20" width="2.7109375" style="1" customWidth="1"/>
    <col min="21" max="21" width="7.42578125" style="1" customWidth="1"/>
    <col min="22" max="22" width="8.42578125" style="31" customWidth="1"/>
    <col min="23" max="23" width="11.7109375" style="31" customWidth="1"/>
    <col min="24" max="24" width="9.5703125" style="31" customWidth="1"/>
    <col min="25" max="25" width="2.5703125" style="31" customWidth="1"/>
    <col min="26" max="26" width="11" style="31" customWidth="1"/>
    <col min="27" max="27" width="10.5703125" style="32" customWidth="1"/>
    <col min="28" max="28" width="11.42578125" style="32" customWidth="1"/>
    <col min="29" max="29" width="9.5703125" style="1" customWidth="1"/>
    <col min="30" max="30" width="7.140625" style="1" customWidth="1"/>
    <col min="31" max="32" width="7.42578125" style="1" customWidth="1"/>
    <col min="33" max="33" width="7.28515625" style="1" customWidth="1"/>
    <col min="34" max="34" width="8.7109375" style="1" customWidth="1"/>
    <col min="35" max="35" width="9" style="23" customWidth="1"/>
    <col min="36" max="36" width="9.140625" style="23" customWidth="1"/>
    <col min="37" max="37" width="10" style="23" customWidth="1"/>
    <col min="38" max="38" width="10.140625" style="23" customWidth="1"/>
    <col min="39" max="39" width="9.85546875" style="23" customWidth="1"/>
    <col min="40" max="40" width="12.140625" style="23" customWidth="1"/>
    <col min="41" max="41" width="3.140625" style="23" customWidth="1"/>
    <col min="42" max="42" width="8.28515625" style="23" customWidth="1"/>
    <col min="43" max="44" width="12.85546875" style="32" customWidth="1"/>
    <col min="45" max="45" width="11.4257812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46</v>
      </c>
      <c r="C4" s="1" t="s">
        <v>22</v>
      </c>
      <c r="D4" s="1" t="s">
        <v>47</v>
      </c>
      <c r="E4" s="51" t="s">
        <v>107</v>
      </c>
      <c r="F4" s="51" t="s">
        <v>114</v>
      </c>
      <c r="G4" s="51" t="s">
        <v>109</v>
      </c>
      <c r="H4" s="1" t="s">
        <v>115</v>
      </c>
      <c r="I4" s="1" t="s">
        <v>116</v>
      </c>
      <c r="J4" s="51" t="s">
        <v>112</v>
      </c>
      <c r="K4" s="51" t="s">
        <v>112</v>
      </c>
      <c r="L4" s="51" t="s">
        <v>112</v>
      </c>
      <c r="M4" s="1">
        <v>396514</v>
      </c>
      <c r="N4" s="56" t="s">
        <v>900</v>
      </c>
      <c r="O4" s="55">
        <f>DATE(2009,7,20)</f>
        <v>40014</v>
      </c>
      <c r="P4" s="55">
        <f>DATE(2013,7,20)</f>
        <v>41475</v>
      </c>
      <c r="Q4" s="51">
        <v>3960</v>
      </c>
      <c r="S4" s="51">
        <v>2.5</v>
      </c>
      <c r="U4" s="1">
        <f t="shared" ref="U4:U30" si="0">P4-O4+1</f>
        <v>1462</v>
      </c>
      <c r="V4" s="31">
        <f t="shared" ref="V4:V30" si="1">Q4/U4</f>
        <v>2.7086183310533514</v>
      </c>
      <c r="W4" s="31">
        <f t="shared" ref="W4:W30" si="2">IF(U4&gt;365,V4*365,Q4)</f>
        <v>988.64569083447327</v>
      </c>
      <c r="X4" s="31">
        <f t="shared" ref="X4:X30" si="3">IF(U4&gt;365,W4/800,Q4/800)</f>
        <v>1.2358071135430917</v>
      </c>
      <c r="AA4" s="32">
        <f t="shared" ref="AA4:AA30" si="4">DATE(2016,7,1)</f>
        <v>42552</v>
      </c>
      <c r="AB4" s="32">
        <f t="shared" ref="AB4:AB30" si="5">DATE(2016,12,31)</f>
        <v>42735</v>
      </c>
      <c r="AC4" s="50">
        <v>1</v>
      </c>
      <c r="AD4" s="1">
        <f t="shared" ref="AD4:AD30" si="6">IF(AND(O4&lt;AA4,P4&gt;AB4),AB4-AA4+1,0)</f>
        <v>0</v>
      </c>
      <c r="AE4" s="1">
        <f t="shared" ref="AE4:AE30" si="7">IF(AND(O4&gt;=AA4,P4&gt;AB4,O4&lt;AB4),AB4-O4+1,0)</f>
        <v>0</v>
      </c>
      <c r="AF4" s="1">
        <f t="shared" ref="AF4:AF30" si="8">IF(AND(O4&lt;AA4,P4&lt;=AB4,P4&gt;=AA4),P4-AA4+1,0)</f>
        <v>0</v>
      </c>
      <c r="AG4" s="1">
        <f t="shared" ref="AG4:AG30" si="9">IF(AND(O4&gt;=AA4,P4&lt;=AB4),P4-O4+1,0)</f>
        <v>0</v>
      </c>
      <c r="AH4" s="1">
        <f t="shared" ref="AH4:AH30" si="10">IF(AND(O4&lt;AA4,P4&lt;AA4),(AB4-AA4+1)/2,0)</f>
        <v>92</v>
      </c>
      <c r="AI4" s="23">
        <f t="shared" ref="AI4:AI30" si="11">SUM(AD4:AH4)/(AB4-AA4+1)</f>
        <v>0.5</v>
      </c>
      <c r="AJ4" s="23">
        <f t="shared" ref="AJ4:AJ30" si="12">X4*AI4</f>
        <v>0.61790355677154585</v>
      </c>
      <c r="AK4" s="23">
        <f t="shared" ref="AK4:AK30" si="13">IF(AH4=0,AJ4*AC4,IF(AA4-P4&gt;1095,0,AJ4*(AC4/2)))</f>
        <v>0.30895177838577292</v>
      </c>
      <c r="AL4" s="23">
        <f t="shared" ref="AL4:AL30" si="14">AK4*S4</f>
        <v>0.77237944596443231</v>
      </c>
      <c r="AM4" s="23">
        <f t="shared" ref="AM4:AM30" si="15">IF(J4="SIM",AL4*50%,0)</f>
        <v>0</v>
      </c>
      <c r="AN4" s="23">
        <f t="shared" ref="AN4:AN30" si="16">AL4+AM4</f>
        <v>0.77237944596443231</v>
      </c>
      <c r="AQ4" s="32">
        <f t="shared" ref="AQ4:AQ30" si="17">DATE(2017,1,1)</f>
        <v>42736</v>
      </c>
      <c r="AR4" s="32">
        <f t="shared" ref="AR4:AR30" si="18">DATE(2017,6,30)</f>
        <v>42916</v>
      </c>
      <c r="AS4" s="56">
        <v>0</v>
      </c>
      <c r="AT4" s="1">
        <f t="shared" ref="AT4:AT30" si="19">IF(AND(O4&lt;AQ4,P4&gt;AR4),AR4-AQ4+1,0)</f>
        <v>0</v>
      </c>
      <c r="AU4" s="1">
        <f t="shared" ref="AU4:AU30" si="20">IF(AND(O4&gt;=AQ4,P4&gt;AR4,O4&lt;AR4),AR4-O4+1,0)</f>
        <v>0</v>
      </c>
      <c r="AV4" s="1">
        <f t="shared" ref="AV4:AV30" si="21">IF(AND(O4&lt;AQ4,P4&lt;=AR4,P4&gt;=AQ4),P4-AQ4+1,0)</f>
        <v>0</v>
      </c>
      <c r="AW4" s="1">
        <f t="shared" ref="AW4:AW30" si="22">IF(AND(O4&gt;=AQ4,P4&lt;=AR4),P4-O4+1,0)</f>
        <v>0</v>
      </c>
      <c r="AX4" s="1">
        <f t="shared" ref="AX4:AX30" si="23">IF(AND(O4&lt;AQ4,P4&lt;AQ4),(AR4-AQ4+1)/2,0)</f>
        <v>90.5</v>
      </c>
      <c r="AY4" s="23">
        <f t="shared" ref="AY4:AY30" si="24">SUM(AT4:AX4)/(AR4-AQ4+1)</f>
        <v>0.5</v>
      </c>
      <c r="AZ4" s="23">
        <f t="shared" ref="AZ4:AZ30" si="25">X4*AY4</f>
        <v>0.61790355677154585</v>
      </c>
      <c r="BA4" s="23">
        <f t="shared" ref="BA4:BA30" si="26">IF(AX4=0,AZ4*AS4,IF(AQ4-P4&gt;1095,0,AZ4*(AS4/2)))</f>
        <v>0</v>
      </c>
      <c r="BB4" s="23">
        <f t="shared" ref="BB4:BB30" si="27">BA4*S4</f>
        <v>0</v>
      </c>
      <c r="BC4" s="23">
        <f t="shared" ref="BC4:BC30" si="28">IF(J4="SIM",BB4*50%,0)</f>
        <v>0</v>
      </c>
      <c r="BD4" s="23">
        <f t="shared" ref="BD4:BD30" si="29">BB4+BC4</f>
        <v>0</v>
      </c>
    </row>
    <row r="5" spans="1:57">
      <c r="A5" s="1" t="s">
        <v>20</v>
      </c>
      <c r="B5" s="1" t="s">
        <v>46</v>
      </c>
      <c r="C5" s="1" t="s">
        <v>22</v>
      </c>
      <c r="D5" s="1" t="s">
        <v>47</v>
      </c>
      <c r="E5" s="51" t="s">
        <v>107</v>
      </c>
      <c r="F5" s="51" t="s">
        <v>108</v>
      </c>
      <c r="G5" s="51" t="s">
        <v>109</v>
      </c>
      <c r="H5" s="1" t="s">
        <v>642</v>
      </c>
      <c r="I5" s="1" t="s">
        <v>147</v>
      </c>
      <c r="J5" s="51" t="s">
        <v>148</v>
      </c>
      <c r="K5" s="51" t="s">
        <v>148</v>
      </c>
      <c r="L5" s="51" t="s">
        <v>112</v>
      </c>
      <c r="M5" s="1">
        <v>810258</v>
      </c>
      <c r="N5" s="56" t="s">
        <v>901</v>
      </c>
      <c r="O5" s="55">
        <f>DATE(2010,8,5)</f>
        <v>40395</v>
      </c>
      <c r="P5" s="55">
        <f>DATE(2013,8,10)</f>
        <v>41496</v>
      </c>
      <c r="Q5" s="51">
        <v>1600</v>
      </c>
      <c r="S5" s="51">
        <v>2.5</v>
      </c>
      <c r="U5" s="1">
        <f t="shared" si="0"/>
        <v>1102</v>
      </c>
      <c r="V5" s="31">
        <f t="shared" si="1"/>
        <v>1.4519056261343013</v>
      </c>
      <c r="W5" s="31">
        <f t="shared" si="2"/>
        <v>529.94555353902001</v>
      </c>
      <c r="X5" s="31">
        <f t="shared" si="3"/>
        <v>0.66243194192377497</v>
      </c>
      <c r="AA5" s="32">
        <f t="shared" si="4"/>
        <v>42552</v>
      </c>
      <c r="AB5" s="32">
        <f t="shared" si="5"/>
        <v>42735</v>
      </c>
      <c r="AC5" s="50">
        <v>18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0.33121597096188748</v>
      </c>
      <c r="AK5" s="23">
        <f t="shared" si="13"/>
        <v>2.9809437386569875</v>
      </c>
      <c r="AL5" s="23">
        <f t="shared" si="14"/>
        <v>7.4523593466424689</v>
      </c>
      <c r="AM5" s="23">
        <f t="shared" si="15"/>
        <v>3.7261796733212345</v>
      </c>
      <c r="AN5" s="23">
        <f t="shared" si="16"/>
        <v>11.178539019963704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0.33121597096188748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46</v>
      </c>
      <c r="C6" s="1" t="s">
        <v>22</v>
      </c>
      <c r="D6" s="1" t="s">
        <v>47</v>
      </c>
      <c r="E6" s="51" t="s">
        <v>107</v>
      </c>
      <c r="F6" s="51" t="s">
        <v>108</v>
      </c>
      <c r="G6" s="51" t="s">
        <v>109</v>
      </c>
      <c r="H6" s="1" t="s">
        <v>902</v>
      </c>
      <c r="I6" s="1" t="s">
        <v>147</v>
      </c>
      <c r="J6" s="51" t="s">
        <v>148</v>
      </c>
      <c r="K6" s="51" t="s">
        <v>112</v>
      </c>
      <c r="L6" s="51" t="s">
        <v>112</v>
      </c>
      <c r="M6" s="1">
        <v>810956</v>
      </c>
      <c r="N6" s="50" t="s">
        <v>903</v>
      </c>
      <c r="O6" s="55">
        <f>DATE(2011,6,1)</f>
        <v>40695</v>
      </c>
      <c r="P6" s="55">
        <f>DATE(2014,6,30)</f>
        <v>41820</v>
      </c>
      <c r="Q6" s="51">
        <v>3960</v>
      </c>
      <c r="S6" s="51">
        <v>2.5</v>
      </c>
      <c r="U6" s="1">
        <f t="shared" si="0"/>
        <v>1126</v>
      </c>
      <c r="V6" s="31">
        <f t="shared" si="1"/>
        <v>3.516873889875666</v>
      </c>
      <c r="W6" s="31">
        <f t="shared" si="2"/>
        <v>1283.658969804618</v>
      </c>
      <c r="X6" s="31">
        <f t="shared" si="3"/>
        <v>1.6045737122557724</v>
      </c>
      <c r="AA6" s="32">
        <f t="shared" si="4"/>
        <v>42552</v>
      </c>
      <c r="AB6" s="32">
        <f t="shared" si="5"/>
        <v>42735</v>
      </c>
      <c r="AC6" s="50">
        <v>11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0.80228685612788619</v>
      </c>
      <c r="AK6" s="23">
        <f t="shared" si="13"/>
        <v>4.412577708703374</v>
      </c>
      <c r="AL6" s="23">
        <f t="shared" si="14"/>
        <v>11.031444271758435</v>
      </c>
      <c r="AM6" s="23">
        <f t="shared" si="15"/>
        <v>5.5157221358792174</v>
      </c>
      <c r="AN6" s="23">
        <f t="shared" si="16"/>
        <v>16.547166407637654</v>
      </c>
      <c r="AQ6" s="32">
        <f t="shared" si="17"/>
        <v>42736</v>
      </c>
      <c r="AR6" s="32">
        <f t="shared" si="18"/>
        <v>42916</v>
      </c>
      <c r="AS6" s="50">
        <v>6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0.80228685612788619</v>
      </c>
      <c r="BA6" s="23">
        <f t="shared" si="26"/>
        <v>2.4068605683836584</v>
      </c>
      <c r="BB6" s="23">
        <f t="shared" si="27"/>
        <v>6.0171514209591459</v>
      </c>
      <c r="BC6" s="23">
        <f t="shared" si="28"/>
        <v>3.008575710479573</v>
      </c>
      <c r="BD6" s="23">
        <f t="shared" si="29"/>
        <v>9.0257271314387193</v>
      </c>
    </row>
    <row r="7" spans="1:57">
      <c r="A7" s="1" t="s">
        <v>20</v>
      </c>
      <c r="B7" s="1" t="s">
        <v>46</v>
      </c>
      <c r="C7" s="1" t="s">
        <v>22</v>
      </c>
      <c r="D7" s="1" t="s">
        <v>47</v>
      </c>
      <c r="E7" s="51" t="s">
        <v>107</v>
      </c>
      <c r="F7" s="51" t="s">
        <v>114</v>
      </c>
      <c r="G7" s="51" t="s">
        <v>109</v>
      </c>
      <c r="H7" s="1" t="s">
        <v>904</v>
      </c>
      <c r="I7" s="1" t="s">
        <v>116</v>
      </c>
      <c r="J7" s="51" t="s">
        <v>112</v>
      </c>
      <c r="K7" s="51" t="s">
        <v>112</v>
      </c>
      <c r="L7" s="51" t="s">
        <v>112</v>
      </c>
      <c r="M7" s="1">
        <v>811649</v>
      </c>
      <c r="N7" s="50" t="s">
        <v>905</v>
      </c>
      <c r="O7" s="55">
        <f>DATE(2011,8,2)</f>
        <v>40757</v>
      </c>
      <c r="P7" s="55">
        <f>DATE(2015,12,21)</f>
        <v>42359</v>
      </c>
      <c r="Q7" s="51">
        <v>2620</v>
      </c>
      <c r="S7" s="51">
        <v>2.5</v>
      </c>
      <c r="U7" s="1">
        <f t="shared" si="0"/>
        <v>1603</v>
      </c>
      <c r="V7" s="31">
        <f t="shared" si="1"/>
        <v>1.6344354335620712</v>
      </c>
      <c r="W7" s="31">
        <f t="shared" si="2"/>
        <v>596.56893325015596</v>
      </c>
      <c r="X7" s="31">
        <f t="shared" si="3"/>
        <v>0.74571116656269498</v>
      </c>
      <c r="AA7" s="32">
        <f t="shared" si="4"/>
        <v>42552</v>
      </c>
      <c r="AB7" s="32">
        <f t="shared" si="5"/>
        <v>42735</v>
      </c>
      <c r="AC7" s="50">
        <v>9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0.37285558328134749</v>
      </c>
      <c r="AK7" s="23">
        <f t="shared" si="13"/>
        <v>1.6778501247660638</v>
      </c>
      <c r="AL7" s="23">
        <f t="shared" si="14"/>
        <v>4.1946253119151597</v>
      </c>
      <c r="AM7" s="23">
        <f t="shared" si="15"/>
        <v>0</v>
      </c>
      <c r="AN7" s="23">
        <f t="shared" si="16"/>
        <v>4.1946253119151597</v>
      </c>
      <c r="AQ7" s="32">
        <f t="shared" si="17"/>
        <v>42736</v>
      </c>
      <c r="AR7" s="32">
        <f t="shared" si="18"/>
        <v>42916</v>
      </c>
      <c r="AS7" s="50">
        <v>6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0.37285558328134749</v>
      </c>
      <c r="BA7" s="23">
        <f t="shared" si="26"/>
        <v>1.1185667498440424</v>
      </c>
      <c r="BB7" s="23">
        <f t="shared" si="27"/>
        <v>2.7964168746101059</v>
      </c>
      <c r="BC7" s="23">
        <f t="shared" si="28"/>
        <v>0</v>
      </c>
      <c r="BD7" s="23">
        <f t="shared" si="29"/>
        <v>2.7964168746101059</v>
      </c>
    </row>
    <row r="8" spans="1:57">
      <c r="A8" s="1" t="s">
        <v>20</v>
      </c>
      <c r="B8" s="1" t="s">
        <v>46</v>
      </c>
      <c r="C8" s="1" t="s">
        <v>22</v>
      </c>
      <c r="D8" s="1" t="s">
        <v>47</v>
      </c>
      <c r="E8" s="51" t="s">
        <v>107</v>
      </c>
      <c r="F8" s="51" t="s">
        <v>439</v>
      </c>
      <c r="G8" s="51" t="s">
        <v>109</v>
      </c>
      <c r="H8" s="1" t="s">
        <v>906</v>
      </c>
      <c r="I8" s="1" t="s">
        <v>116</v>
      </c>
      <c r="J8" s="51" t="s">
        <v>112</v>
      </c>
      <c r="K8" s="51" t="s">
        <v>112</v>
      </c>
      <c r="L8" s="51" t="s">
        <v>112</v>
      </c>
      <c r="M8" s="1">
        <v>1072502</v>
      </c>
      <c r="N8" s="56" t="s">
        <v>907</v>
      </c>
      <c r="O8" s="55">
        <f>DATE(2011,11,21)</f>
        <v>40868</v>
      </c>
      <c r="P8" s="55">
        <f>DATE(2013,11,29)</f>
        <v>41607</v>
      </c>
      <c r="Q8" s="51">
        <v>360</v>
      </c>
      <c r="S8" s="51">
        <v>1</v>
      </c>
      <c r="U8" s="1">
        <f t="shared" si="0"/>
        <v>740</v>
      </c>
      <c r="V8" s="31">
        <f t="shared" si="1"/>
        <v>0.48648648648648651</v>
      </c>
      <c r="W8" s="31">
        <f t="shared" si="2"/>
        <v>177.56756756756758</v>
      </c>
      <c r="X8" s="31">
        <f t="shared" si="3"/>
        <v>0.22195945945945947</v>
      </c>
      <c r="AA8" s="32">
        <f t="shared" si="4"/>
        <v>42552</v>
      </c>
      <c r="AB8" s="32">
        <f t="shared" si="5"/>
        <v>42735</v>
      </c>
      <c r="AC8" s="50">
        <v>18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0.11097972972972973</v>
      </c>
      <c r="AK8" s="23">
        <f t="shared" si="13"/>
        <v>0.99881756756756757</v>
      </c>
      <c r="AL8" s="23">
        <f t="shared" si="14"/>
        <v>0.99881756756756757</v>
      </c>
      <c r="AM8" s="23">
        <f t="shared" si="15"/>
        <v>0</v>
      </c>
      <c r="AN8" s="23">
        <f t="shared" si="16"/>
        <v>0.99881756756756757</v>
      </c>
      <c r="AQ8" s="32">
        <f t="shared" si="17"/>
        <v>42736</v>
      </c>
      <c r="AR8" s="32">
        <f t="shared" si="18"/>
        <v>42916</v>
      </c>
      <c r="AS8" s="56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0.11097972972972973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46</v>
      </c>
      <c r="C9" s="1" t="s">
        <v>22</v>
      </c>
      <c r="D9" s="1" t="s">
        <v>47</v>
      </c>
      <c r="E9" s="51" t="s">
        <v>154</v>
      </c>
      <c r="F9" s="51" t="s">
        <v>108</v>
      </c>
      <c r="G9" s="51" t="s">
        <v>109</v>
      </c>
      <c r="H9" s="1" t="s">
        <v>146</v>
      </c>
      <c r="I9" s="1" t="s">
        <v>147</v>
      </c>
      <c r="J9" s="51" t="s">
        <v>148</v>
      </c>
      <c r="K9" s="51" t="s">
        <v>112</v>
      </c>
      <c r="L9" s="51" t="s">
        <v>148</v>
      </c>
      <c r="M9" s="1">
        <v>1072530</v>
      </c>
      <c r="N9" s="56" t="s">
        <v>908</v>
      </c>
      <c r="O9" s="55">
        <f>DATE(2011,12,1)</f>
        <v>40878</v>
      </c>
      <c r="P9" s="55">
        <f>DATE(2013,11,29)</f>
        <v>41607</v>
      </c>
      <c r="Q9" s="51">
        <v>1000</v>
      </c>
      <c r="S9" s="51">
        <v>2.5</v>
      </c>
      <c r="U9" s="1">
        <f t="shared" si="0"/>
        <v>730</v>
      </c>
      <c r="V9" s="31">
        <f t="shared" si="1"/>
        <v>1.3698630136986301</v>
      </c>
      <c r="W9" s="31">
        <f t="shared" si="2"/>
        <v>500</v>
      </c>
      <c r="X9" s="31">
        <f t="shared" si="3"/>
        <v>0.625</v>
      </c>
      <c r="AA9" s="32">
        <f t="shared" si="4"/>
        <v>42552</v>
      </c>
      <c r="AB9" s="32">
        <f t="shared" si="5"/>
        <v>42735</v>
      </c>
      <c r="AC9" s="50">
        <v>4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0.3125</v>
      </c>
      <c r="AK9" s="23">
        <f t="shared" si="13"/>
        <v>0.625</v>
      </c>
      <c r="AL9" s="23">
        <f t="shared" si="14"/>
        <v>1.5625</v>
      </c>
      <c r="AM9" s="23">
        <f t="shared" si="15"/>
        <v>0.78125</v>
      </c>
      <c r="AN9" s="23">
        <f t="shared" si="16"/>
        <v>2.34375</v>
      </c>
      <c r="AQ9" s="32">
        <f t="shared" si="17"/>
        <v>42736</v>
      </c>
      <c r="AR9" s="32">
        <f t="shared" si="18"/>
        <v>42916</v>
      </c>
      <c r="AS9" s="56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0.3125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46</v>
      </c>
      <c r="C10" s="1" t="s">
        <v>22</v>
      </c>
      <c r="D10" s="1" t="s">
        <v>47</v>
      </c>
      <c r="E10" s="51" t="s">
        <v>154</v>
      </c>
      <c r="F10" s="51" t="s">
        <v>108</v>
      </c>
      <c r="G10" s="51" t="s">
        <v>109</v>
      </c>
      <c r="H10" s="1" t="s">
        <v>110</v>
      </c>
      <c r="I10" s="1" t="s">
        <v>111</v>
      </c>
      <c r="J10" s="51" t="s">
        <v>112</v>
      </c>
      <c r="K10" s="51" t="s">
        <v>112</v>
      </c>
      <c r="L10" s="51" t="s">
        <v>148</v>
      </c>
      <c r="M10" s="1">
        <v>1072531</v>
      </c>
      <c r="N10" s="56" t="s">
        <v>909</v>
      </c>
      <c r="O10" s="55">
        <f>DATE(2011,12,1)</f>
        <v>40878</v>
      </c>
      <c r="P10" s="55">
        <f>DATE(2013,11,29)</f>
        <v>41607</v>
      </c>
      <c r="Q10" s="51">
        <v>1000</v>
      </c>
      <c r="S10" s="51">
        <v>2</v>
      </c>
      <c r="U10" s="1">
        <f t="shared" si="0"/>
        <v>730</v>
      </c>
      <c r="V10" s="31">
        <f t="shared" si="1"/>
        <v>1.3698630136986301</v>
      </c>
      <c r="W10" s="31">
        <f t="shared" si="2"/>
        <v>500</v>
      </c>
      <c r="X10" s="31">
        <f t="shared" si="3"/>
        <v>0.625</v>
      </c>
      <c r="AA10" s="32">
        <f t="shared" si="4"/>
        <v>42552</v>
      </c>
      <c r="AB10" s="32">
        <f t="shared" si="5"/>
        <v>42735</v>
      </c>
      <c r="AC10" s="50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0.3125</v>
      </c>
      <c r="AK10" s="23">
        <f t="shared" si="13"/>
        <v>0.3125</v>
      </c>
      <c r="AL10" s="23">
        <f t="shared" si="14"/>
        <v>0.625</v>
      </c>
      <c r="AM10" s="23">
        <f t="shared" si="15"/>
        <v>0</v>
      </c>
      <c r="AN10" s="23">
        <f t="shared" si="16"/>
        <v>0.625</v>
      </c>
      <c r="AQ10" s="32">
        <f t="shared" si="17"/>
        <v>42736</v>
      </c>
      <c r="AR10" s="32">
        <f t="shared" si="18"/>
        <v>42916</v>
      </c>
      <c r="AS10" s="56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0.3125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46</v>
      </c>
      <c r="C11" s="1" t="s">
        <v>22</v>
      </c>
      <c r="D11" s="1" t="s">
        <v>47</v>
      </c>
      <c r="E11" s="51" t="s">
        <v>154</v>
      </c>
      <c r="F11" s="51" t="s">
        <v>108</v>
      </c>
      <c r="G11" s="51" t="s">
        <v>109</v>
      </c>
      <c r="H11" s="1" t="s">
        <v>179</v>
      </c>
      <c r="I11" s="1" t="s">
        <v>125</v>
      </c>
      <c r="J11" s="51" t="s">
        <v>112</v>
      </c>
      <c r="K11" s="51" t="s">
        <v>112</v>
      </c>
      <c r="L11" s="51" t="s">
        <v>148</v>
      </c>
      <c r="M11" s="1">
        <v>1072532</v>
      </c>
      <c r="N11" s="56" t="s">
        <v>910</v>
      </c>
      <c r="O11" s="55">
        <f>DATE(2011,12,1)</f>
        <v>40878</v>
      </c>
      <c r="P11" s="55">
        <f>DATE(2013,11,29)</f>
        <v>41607</v>
      </c>
      <c r="Q11" s="51">
        <v>1200</v>
      </c>
      <c r="S11" s="51">
        <v>2</v>
      </c>
      <c r="U11" s="1">
        <f t="shared" si="0"/>
        <v>730</v>
      </c>
      <c r="V11" s="31">
        <f t="shared" si="1"/>
        <v>1.6438356164383561</v>
      </c>
      <c r="W11" s="31">
        <f t="shared" si="2"/>
        <v>600</v>
      </c>
      <c r="X11" s="31">
        <f t="shared" si="3"/>
        <v>0.75</v>
      </c>
      <c r="AA11" s="32">
        <f t="shared" si="4"/>
        <v>42552</v>
      </c>
      <c r="AB11" s="32">
        <f t="shared" si="5"/>
        <v>42735</v>
      </c>
      <c r="AC11" s="50">
        <v>11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0.375</v>
      </c>
      <c r="AK11" s="23">
        <f t="shared" si="13"/>
        <v>2.0625</v>
      </c>
      <c r="AL11" s="23">
        <f t="shared" si="14"/>
        <v>4.125</v>
      </c>
      <c r="AM11" s="23">
        <f t="shared" si="15"/>
        <v>0</v>
      </c>
      <c r="AN11" s="23">
        <f t="shared" si="16"/>
        <v>4.125</v>
      </c>
      <c r="AQ11" s="32">
        <f t="shared" si="17"/>
        <v>42736</v>
      </c>
      <c r="AR11" s="32">
        <f t="shared" si="18"/>
        <v>42916</v>
      </c>
      <c r="AS11" s="56">
        <v>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0.375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>
      <c r="A12" s="48" t="s">
        <v>20</v>
      </c>
      <c r="B12" s="1" t="s">
        <v>46</v>
      </c>
      <c r="C12" s="1" t="s">
        <v>22</v>
      </c>
      <c r="D12" s="1" t="s">
        <v>47</v>
      </c>
      <c r="E12" s="51" t="s">
        <v>107</v>
      </c>
      <c r="F12" s="51" t="s">
        <v>108</v>
      </c>
      <c r="G12" s="51" t="s">
        <v>109</v>
      </c>
      <c r="H12" s="1" t="s">
        <v>642</v>
      </c>
      <c r="I12" s="1" t="s">
        <v>147</v>
      </c>
      <c r="J12" s="51" t="s">
        <v>148</v>
      </c>
      <c r="K12" s="51" t="s">
        <v>112</v>
      </c>
      <c r="L12" s="51" t="s">
        <v>112</v>
      </c>
      <c r="M12" s="1">
        <v>1959391</v>
      </c>
      <c r="N12" s="50" t="s">
        <v>911</v>
      </c>
      <c r="O12" s="55">
        <f>DATE(2014,3,10)</f>
        <v>41708</v>
      </c>
      <c r="P12" s="55">
        <f>DATE(2016,12,23)</f>
        <v>42727</v>
      </c>
      <c r="Q12" s="51">
        <v>3822</v>
      </c>
      <c r="S12" s="51">
        <v>2.5</v>
      </c>
      <c r="U12" s="1">
        <f t="shared" si="0"/>
        <v>1020</v>
      </c>
      <c r="V12" s="31">
        <f t="shared" si="1"/>
        <v>3.7470588235294118</v>
      </c>
      <c r="W12" s="31">
        <f t="shared" si="2"/>
        <v>1367.6764705882354</v>
      </c>
      <c r="X12" s="31">
        <f t="shared" si="3"/>
        <v>1.7095955882352942</v>
      </c>
      <c r="AA12" s="32">
        <f t="shared" si="4"/>
        <v>42552</v>
      </c>
      <c r="AB12" s="32">
        <f t="shared" si="5"/>
        <v>42735</v>
      </c>
      <c r="AC12" s="50">
        <v>170</v>
      </c>
      <c r="AD12" s="1">
        <f t="shared" si="6"/>
        <v>0</v>
      </c>
      <c r="AE12" s="1">
        <f t="shared" si="7"/>
        <v>0</v>
      </c>
      <c r="AF12" s="1">
        <f t="shared" si="8"/>
        <v>176</v>
      </c>
      <c r="AG12" s="1">
        <f t="shared" si="9"/>
        <v>0</v>
      </c>
      <c r="AH12" s="1">
        <f t="shared" si="10"/>
        <v>0</v>
      </c>
      <c r="AI12" s="23">
        <f t="shared" si="11"/>
        <v>0.95652173913043481</v>
      </c>
      <c r="AJ12" s="23">
        <f t="shared" si="12"/>
        <v>1.6352653452685424</v>
      </c>
      <c r="AK12" s="23">
        <f t="shared" si="13"/>
        <v>277.99510869565222</v>
      </c>
      <c r="AL12" s="23">
        <f t="shared" si="14"/>
        <v>694.98777173913049</v>
      </c>
      <c r="AM12" s="23">
        <f t="shared" si="15"/>
        <v>347.49388586956525</v>
      </c>
      <c r="AN12" s="23">
        <f t="shared" si="16"/>
        <v>1042.4816576086957</v>
      </c>
      <c r="AQ12" s="32">
        <f t="shared" si="17"/>
        <v>42736</v>
      </c>
      <c r="AR12" s="32">
        <f t="shared" si="18"/>
        <v>42916</v>
      </c>
      <c r="AS12" s="50">
        <v>158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0.85479779411764711</v>
      </c>
      <c r="BA12" s="23">
        <f t="shared" si="26"/>
        <v>67.529025735294127</v>
      </c>
      <c r="BB12" s="23">
        <f t="shared" si="27"/>
        <v>168.82256433823531</v>
      </c>
      <c r="BC12" s="23">
        <f t="shared" si="28"/>
        <v>84.411282169117655</v>
      </c>
      <c r="BD12" s="23">
        <f t="shared" si="29"/>
        <v>253.23384650735295</v>
      </c>
    </row>
    <row r="13" spans="1:57">
      <c r="A13" s="1" t="s">
        <v>20</v>
      </c>
      <c r="B13" s="1" t="s">
        <v>46</v>
      </c>
      <c r="C13" s="1" t="s">
        <v>22</v>
      </c>
      <c r="D13" s="1" t="s">
        <v>47</v>
      </c>
      <c r="E13" s="51" t="s">
        <v>107</v>
      </c>
      <c r="F13" s="51" t="s">
        <v>108</v>
      </c>
      <c r="G13" s="51" t="s">
        <v>109</v>
      </c>
      <c r="H13" s="1" t="s">
        <v>912</v>
      </c>
      <c r="I13" s="1" t="s">
        <v>116</v>
      </c>
      <c r="J13" s="51" t="s">
        <v>112</v>
      </c>
      <c r="K13" s="51" t="s">
        <v>112</v>
      </c>
      <c r="L13" s="51" t="s">
        <v>112</v>
      </c>
      <c r="M13" s="1">
        <v>1964955</v>
      </c>
      <c r="N13" s="50" t="s">
        <v>913</v>
      </c>
      <c r="O13" s="55">
        <f>DATE(2013,1,7)</f>
        <v>41281</v>
      </c>
      <c r="P13" s="55">
        <f>DATE(2015,12,18)</f>
        <v>42356</v>
      </c>
      <c r="Q13" s="51">
        <v>4100</v>
      </c>
      <c r="S13" s="51">
        <v>1.5</v>
      </c>
      <c r="U13" s="1">
        <f t="shared" si="0"/>
        <v>1076</v>
      </c>
      <c r="V13" s="31">
        <f t="shared" si="1"/>
        <v>3.8104089219330857</v>
      </c>
      <c r="W13" s="31">
        <f t="shared" si="2"/>
        <v>1390.7992565055763</v>
      </c>
      <c r="X13" s="31">
        <f t="shared" si="3"/>
        <v>1.7384990706319703</v>
      </c>
      <c r="AA13" s="32">
        <f t="shared" si="4"/>
        <v>42552</v>
      </c>
      <c r="AB13" s="32">
        <f t="shared" si="5"/>
        <v>42735</v>
      </c>
      <c r="AC13" s="50">
        <v>101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0.86924953531598514</v>
      </c>
      <c r="AK13" s="23">
        <f t="shared" si="13"/>
        <v>43.897101533457253</v>
      </c>
      <c r="AL13" s="23">
        <f t="shared" si="14"/>
        <v>65.845652300185876</v>
      </c>
      <c r="AM13" s="23">
        <f t="shared" si="15"/>
        <v>0</v>
      </c>
      <c r="AN13" s="23">
        <f t="shared" si="16"/>
        <v>65.845652300185876</v>
      </c>
      <c r="AQ13" s="32">
        <f t="shared" si="17"/>
        <v>42736</v>
      </c>
      <c r="AR13" s="32">
        <f t="shared" si="18"/>
        <v>42916</v>
      </c>
      <c r="AS13" s="50">
        <v>13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0.86924953531598514</v>
      </c>
      <c r="BA13" s="23">
        <f t="shared" si="26"/>
        <v>5.6501219795539033</v>
      </c>
      <c r="BB13" s="23">
        <f t="shared" si="27"/>
        <v>8.4751829693308558</v>
      </c>
      <c r="BC13" s="23">
        <f t="shared" si="28"/>
        <v>0</v>
      </c>
      <c r="BD13" s="23">
        <f t="shared" si="29"/>
        <v>8.4751829693308558</v>
      </c>
    </row>
    <row r="14" spans="1:57">
      <c r="A14" s="1" t="s">
        <v>20</v>
      </c>
      <c r="B14" s="1" t="s">
        <v>46</v>
      </c>
      <c r="C14" s="1" t="s">
        <v>22</v>
      </c>
      <c r="D14" s="1" t="s">
        <v>47</v>
      </c>
      <c r="E14" s="51" t="s">
        <v>107</v>
      </c>
      <c r="F14" s="51" t="s">
        <v>439</v>
      </c>
      <c r="G14" s="51" t="s">
        <v>109</v>
      </c>
      <c r="H14" s="1" t="s">
        <v>906</v>
      </c>
      <c r="I14" s="1" t="s">
        <v>116</v>
      </c>
      <c r="J14" s="51" t="s">
        <v>112</v>
      </c>
      <c r="K14" s="51" t="s">
        <v>112</v>
      </c>
      <c r="L14" s="51" t="s">
        <v>112</v>
      </c>
      <c r="M14" s="1">
        <v>1965262</v>
      </c>
      <c r="N14" s="50" t="s">
        <v>914</v>
      </c>
      <c r="O14" s="55">
        <f>DATE(2014,7,14)</f>
        <v>41834</v>
      </c>
      <c r="P14" s="55">
        <f>DATE(2015,7,30)</f>
        <v>42215</v>
      </c>
      <c r="Q14" s="51">
        <v>360</v>
      </c>
      <c r="S14" s="51">
        <v>1</v>
      </c>
      <c r="U14" s="1">
        <f t="shared" si="0"/>
        <v>382</v>
      </c>
      <c r="V14" s="31">
        <f t="shared" si="1"/>
        <v>0.94240837696335078</v>
      </c>
      <c r="W14" s="31">
        <f t="shared" si="2"/>
        <v>343.97905759162302</v>
      </c>
      <c r="X14" s="31">
        <f t="shared" si="3"/>
        <v>0.42997382198952877</v>
      </c>
      <c r="AA14" s="32">
        <f t="shared" si="4"/>
        <v>42552</v>
      </c>
      <c r="AB14" s="32">
        <f t="shared" si="5"/>
        <v>42735</v>
      </c>
      <c r="AC14" s="50">
        <v>11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0.21498691099476439</v>
      </c>
      <c r="AK14" s="23">
        <f t="shared" si="13"/>
        <v>1.1824280104712042</v>
      </c>
      <c r="AL14" s="23">
        <f t="shared" si="14"/>
        <v>1.1824280104712042</v>
      </c>
      <c r="AM14" s="23">
        <f t="shared" si="15"/>
        <v>0</v>
      </c>
      <c r="AN14" s="23">
        <f t="shared" si="16"/>
        <v>1.1824280104712042</v>
      </c>
      <c r="AQ14" s="32">
        <f t="shared" si="17"/>
        <v>42736</v>
      </c>
      <c r="AR14" s="32">
        <f t="shared" si="18"/>
        <v>42916</v>
      </c>
      <c r="AS14" s="50">
        <v>9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0.21498691099476439</v>
      </c>
      <c r="BA14" s="23">
        <f t="shared" si="26"/>
        <v>0.96744109947643975</v>
      </c>
      <c r="BB14" s="23">
        <f t="shared" si="27"/>
        <v>0.96744109947643975</v>
      </c>
      <c r="BC14" s="23">
        <f t="shared" si="28"/>
        <v>0</v>
      </c>
      <c r="BD14" s="23">
        <f t="shared" si="29"/>
        <v>0.96744109947643975</v>
      </c>
    </row>
    <row r="15" spans="1:57">
      <c r="A15" s="1" t="s">
        <v>20</v>
      </c>
      <c r="B15" s="1" t="s">
        <v>46</v>
      </c>
      <c r="C15" s="1" t="s">
        <v>22</v>
      </c>
      <c r="D15" s="1" t="s">
        <v>47</v>
      </c>
      <c r="E15" s="51" t="s">
        <v>154</v>
      </c>
      <c r="F15" s="51" t="s">
        <v>108</v>
      </c>
      <c r="G15" s="51" t="s">
        <v>109</v>
      </c>
      <c r="H15" s="1" t="s">
        <v>110</v>
      </c>
      <c r="I15" s="1" t="s">
        <v>111</v>
      </c>
      <c r="J15" s="51" t="s">
        <v>112</v>
      </c>
      <c r="K15" s="51" t="s">
        <v>112</v>
      </c>
      <c r="L15" s="51" t="s">
        <v>148</v>
      </c>
      <c r="M15" s="1">
        <v>1974949</v>
      </c>
      <c r="N15" s="50" t="s">
        <v>915</v>
      </c>
      <c r="O15" s="55">
        <f>DATE(2014,10,1)</f>
        <v>41913</v>
      </c>
      <c r="P15" s="55">
        <f>DATE(2016,11,30)</f>
        <v>42704</v>
      </c>
      <c r="Q15" s="51">
        <v>1277</v>
      </c>
      <c r="S15" s="51">
        <v>2</v>
      </c>
      <c r="U15" s="1">
        <f t="shared" si="0"/>
        <v>792</v>
      </c>
      <c r="V15" s="31">
        <f t="shared" si="1"/>
        <v>1.6123737373737375</v>
      </c>
      <c r="W15" s="31">
        <f t="shared" si="2"/>
        <v>588.5164141414142</v>
      </c>
      <c r="X15" s="31">
        <f t="shared" si="3"/>
        <v>0.73564551767676778</v>
      </c>
      <c r="AA15" s="32">
        <f t="shared" si="4"/>
        <v>42552</v>
      </c>
      <c r="AB15" s="32">
        <f t="shared" si="5"/>
        <v>42735</v>
      </c>
      <c r="AC15" s="50">
        <v>6</v>
      </c>
      <c r="AD15" s="1">
        <f t="shared" si="6"/>
        <v>0</v>
      </c>
      <c r="AE15" s="1">
        <f t="shared" si="7"/>
        <v>0</v>
      </c>
      <c r="AF15" s="1">
        <f t="shared" si="8"/>
        <v>153</v>
      </c>
      <c r="AG15" s="1">
        <f t="shared" si="9"/>
        <v>0</v>
      </c>
      <c r="AH15" s="1">
        <f t="shared" si="10"/>
        <v>0</v>
      </c>
      <c r="AI15" s="23">
        <f t="shared" si="11"/>
        <v>0.83152173913043481</v>
      </c>
      <c r="AJ15" s="23">
        <f t="shared" si="12"/>
        <v>0.61170524024209494</v>
      </c>
      <c r="AK15" s="23">
        <f t="shared" si="13"/>
        <v>3.6702314414525699</v>
      </c>
      <c r="AL15" s="23">
        <f t="shared" si="14"/>
        <v>7.3404628829051397</v>
      </c>
      <c r="AM15" s="23">
        <f t="shared" si="15"/>
        <v>0</v>
      </c>
      <c r="AN15" s="23">
        <f t="shared" si="16"/>
        <v>7.3404628829051397</v>
      </c>
      <c r="AQ15" s="32">
        <f t="shared" si="17"/>
        <v>42736</v>
      </c>
      <c r="AR15" s="32">
        <f t="shared" si="18"/>
        <v>42916</v>
      </c>
      <c r="AS15" s="50">
        <v>1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0.36782275883838389</v>
      </c>
      <c r="BA15" s="23">
        <f t="shared" si="26"/>
        <v>0.18391137941919194</v>
      </c>
      <c r="BB15" s="23">
        <f t="shared" si="27"/>
        <v>0.36782275883838389</v>
      </c>
      <c r="BC15" s="23">
        <f t="shared" si="28"/>
        <v>0</v>
      </c>
      <c r="BD15" s="23">
        <f t="shared" si="29"/>
        <v>0.36782275883838389</v>
      </c>
    </row>
    <row r="16" spans="1:57">
      <c r="A16" s="1" t="s">
        <v>20</v>
      </c>
      <c r="B16" s="1" t="s">
        <v>46</v>
      </c>
      <c r="C16" s="1" t="s">
        <v>22</v>
      </c>
      <c r="D16" s="1" t="s">
        <v>47</v>
      </c>
      <c r="E16" s="51" t="s">
        <v>107</v>
      </c>
      <c r="F16" s="51" t="s">
        <v>108</v>
      </c>
      <c r="G16" s="51" t="s">
        <v>109</v>
      </c>
      <c r="H16" s="1" t="s">
        <v>642</v>
      </c>
      <c r="I16" s="1" t="s">
        <v>147</v>
      </c>
      <c r="J16" s="51" t="s">
        <v>148</v>
      </c>
      <c r="K16" s="51" t="s">
        <v>112</v>
      </c>
      <c r="L16" s="51" t="s">
        <v>112</v>
      </c>
      <c r="M16" s="1">
        <v>2002388</v>
      </c>
      <c r="N16" s="50" t="s">
        <v>916</v>
      </c>
      <c r="O16" s="55">
        <f>DATE(2015,10,1)</f>
        <v>42278</v>
      </c>
      <c r="P16" s="55">
        <f>DATE(2018,12,1)</f>
        <v>43435</v>
      </c>
      <c r="Q16" s="51">
        <v>4252</v>
      </c>
      <c r="S16" s="51">
        <v>2.5</v>
      </c>
      <c r="U16" s="1">
        <f t="shared" si="0"/>
        <v>1158</v>
      </c>
      <c r="V16" s="31">
        <f t="shared" si="1"/>
        <v>3.6718480138169256</v>
      </c>
      <c r="W16" s="31">
        <f t="shared" si="2"/>
        <v>1340.2245250431779</v>
      </c>
      <c r="X16" s="31">
        <f t="shared" si="3"/>
        <v>1.6752806563039724</v>
      </c>
      <c r="AA16" s="32">
        <f t="shared" si="4"/>
        <v>42552</v>
      </c>
      <c r="AB16" s="32">
        <f t="shared" si="5"/>
        <v>42735</v>
      </c>
      <c r="AC16" s="50">
        <v>75</v>
      </c>
      <c r="AD16" s="1">
        <f t="shared" si="6"/>
        <v>184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0</v>
      </c>
      <c r="AI16" s="23">
        <f t="shared" si="11"/>
        <v>1</v>
      </c>
      <c r="AJ16" s="23">
        <f t="shared" si="12"/>
        <v>1.6752806563039724</v>
      </c>
      <c r="AK16" s="23">
        <f t="shared" si="13"/>
        <v>125.64604922279793</v>
      </c>
      <c r="AL16" s="23">
        <f t="shared" si="14"/>
        <v>314.11512305699483</v>
      </c>
      <c r="AM16" s="23">
        <f t="shared" si="15"/>
        <v>157.05756152849742</v>
      </c>
      <c r="AN16" s="23">
        <f t="shared" si="16"/>
        <v>471.17268458549222</v>
      </c>
      <c r="AQ16" s="32">
        <f t="shared" si="17"/>
        <v>42736</v>
      </c>
      <c r="AR16" s="32">
        <f t="shared" si="18"/>
        <v>42916</v>
      </c>
      <c r="AS16" s="50">
        <v>64</v>
      </c>
      <c r="AT16" s="1">
        <f t="shared" si="19"/>
        <v>181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0</v>
      </c>
      <c r="AY16" s="23">
        <f t="shared" si="24"/>
        <v>1</v>
      </c>
      <c r="AZ16" s="23">
        <f t="shared" si="25"/>
        <v>1.6752806563039724</v>
      </c>
      <c r="BA16" s="23">
        <f t="shared" si="26"/>
        <v>107.21796200345423</v>
      </c>
      <c r="BB16" s="23">
        <f t="shared" si="27"/>
        <v>268.04490500863557</v>
      </c>
      <c r="BC16" s="23">
        <f t="shared" si="28"/>
        <v>134.02245250431778</v>
      </c>
      <c r="BD16" s="23">
        <f t="shared" si="29"/>
        <v>402.06735751295332</v>
      </c>
    </row>
    <row r="17" spans="1:56">
      <c r="A17" s="1" t="s">
        <v>20</v>
      </c>
      <c r="B17" s="1" t="s">
        <v>46</v>
      </c>
      <c r="C17" s="1" t="s">
        <v>22</v>
      </c>
      <c r="D17" s="1" t="s">
        <v>47</v>
      </c>
      <c r="E17" s="51" t="s">
        <v>107</v>
      </c>
      <c r="F17" s="51" t="s">
        <v>439</v>
      </c>
      <c r="G17" s="51" t="s">
        <v>109</v>
      </c>
      <c r="H17" s="1" t="s">
        <v>917</v>
      </c>
      <c r="I17" s="1" t="s">
        <v>116</v>
      </c>
      <c r="J17" s="51" t="s">
        <v>112</v>
      </c>
      <c r="K17" s="51" t="s">
        <v>112</v>
      </c>
      <c r="L17" s="51" t="s">
        <v>112</v>
      </c>
      <c r="M17" s="1">
        <v>2003028</v>
      </c>
      <c r="N17" s="50" t="s">
        <v>918</v>
      </c>
      <c r="O17" s="55">
        <f>DATE(2015,1,1)</f>
        <v>42005</v>
      </c>
      <c r="P17" s="55">
        <f>DATE(2016,7,1)</f>
        <v>42552</v>
      </c>
      <c r="Q17" s="51">
        <v>420</v>
      </c>
      <c r="S17" s="51">
        <v>1</v>
      </c>
      <c r="U17" s="1">
        <f t="shared" si="0"/>
        <v>548</v>
      </c>
      <c r="V17" s="31">
        <f t="shared" si="1"/>
        <v>0.76642335766423353</v>
      </c>
      <c r="W17" s="31">
        <f t="shared" si="2"/>
        <v>279.74452554744522</v>
      </c>
      <c r="X17" s="31">
        <f t="shared" si="3"/>
        <v>0.3496806569343065</v>
      </c>
      <c r="AA17" s="32">
        <f t="shared" si="4"/>
        <v>42552</v>
      </c>
      <c r="AB17" s="32">
        <f t="shared" si="5"/>
        <v>42735</v>
      </c>
      <c r="AC17" s="50">
        <v>30</v>
      </c>
      <c r="AD17" s="1">
        <f t="shared" si="6"/>
        <v>0</v>
      </c>
      <c r="AE17" s="1">
        <f t="shared" si="7"/>
        <v>0</v>
      </c>
      <c r="AF17" s="1">
        <f t="shared" si="8"/>
        <v>1</v>
      </c>
      <c r="AG17" s="1">
        <f t="shared" si="9"/>
        <v>0</v>
      </c>
      <c r="AH17" s="1">
        <f t="shared" si="10"/>
        <v>0</v>
      </c>
      <c r="AI17" s="23">
        <f t="shared" si="11"/>
        <v>5.434782608695652E-3</v>
      </c>
      <c r="AJ17" s="23">
        <f t="shared" si="12"/>
        <v>1.9004383529038396E-3</v>
      </c>
      <c r="AK17" s="23">
        <f t="shared" si="13"/>
        <v>5.7013150587115188E-2</v>
      </c>
      <c r="AL17" s="23">
        <f t="shared" si="14"/>
        <v>5.7013150587115188E-2</v>
      </c>
      <c r="AM17" s="23">
        <f t="shared" si="15"/>
        <v>0</v>
      </c>
      <c r="AN17" s="23">
        <f t="shared" si="16"/>
        <v>5.7013150587115188E-2</v>
      </c>
      <c r="AQ17" s="32">
        <f t="shared" si="17"/>
        <v>42736</v>
      </c>
      <c r="AR17" s="32">
        <f t="shared" si="18"/>
        <v>42916</v>
      </c>
      <c r="AS17" s="50">
        <v>30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0.17484032846715325</v>
      </c>
      <c r="BA17" s="23">
        <f t="shared" si="26"/>
        <v>2.6226049270072989</v>
      </c>
      <c r="BB17" s="23">
        <f t="shared" si="27"/>
        <v>2.6226049270072989</v>
      </c>
      <c r="BC17" s="23">
        <f t="shared" si="28"/>
        <v>0</v>
      </c>
      <c r="BD17" s="23">
        <f t="shared" si="29"/>
        <v>2.6226049270072989</v>
      </c>
    </row>
    <row r="18" spans="1:56">
      <c r="A18" s="1" t="s">
        <v>20</v>
      </c>
      <c r="B18" s="1" t="s">
        <v>46</v>
      </c>
      <c r="C18" s="1" t="s">
        <v>22</v>
      </c>
      <c r="D18" s="1" t="s">
        <v>47</v>
      </c>
      <c r="E18" s="51" t="s">
        <v>107</v>
      </c>
      <c r="F18" s="51" t="s">
        <v>439</v>
      </c>
      <c r="G18" s="51" t="s">
        <v>109</v>
      </c>
      <c r="H18" s="1" t="s">
        <v>906</v>
      </c>
      <c r="I18" s="1" t="s">
        <v>116</v>
      </c>
      <c r="J18" s="51" t="s">
        <v>112</v>
      </c>
      <c r="K18" s="51" t="s">
        <v>112</v>
      </c>
      <c r="L18" s="51" t="s">
        <v>112</v>
      </c>
      <c r="M18" s="1">
        <v>2003030</v>
      </c>
      <c r="N18" s="50" t="s">
        <v>919</v>
      </c>
      <c r="O18" s="55">
        <f>DATE(2015,1,1)</f>
        <v>42005</v>
      </c>
      <c r="P18" s="55">
        <f>DATE(2016,7,1)</f>
        <v>42552</v>
      </c>
      <c r="Q18" s="51">
        <v>360</v>
      </c>
      <c r="S18" s="51">
        <v>1</v>
      </c>
      <c r="U18" s="1">
        <f t="shared" si="0"/>
        <v>548</v>
      </c>
      <c r="V18" s="31">
        <f t="shared" si="1"/>
        <v>0.65693430656934304</v>
      </c>
      <c r="W18" s="31">
        <f t="shared" si="2"/>
        <v>239.78102189781021</v>
      </c>
      <c r="X18" s="31">
        <f t="shared" si="3"/>
        <v>0.29972627737226276</v>
      </c>
      <c r="AA18" s="32">
        <f t="shared" si="4"/>
        <v>42552</v>
      </c>
      <c r="AB18" s="32">
        <f t="shared" si="5"/>
        <v>42735</v>
      </c>
      <c r="AC18" s="50">
        <v>33</v>
      </c>
      <c r="AD18" s="1">
        <f t="shared" si="6"/>
        <v>0</v>
      </c>
      <c r="AE18" s="1">
        <f t="shared" si="7"/>
        <v>0</v>
      </c>
      <c r="AF18" s="1">
        <f t="shared" si="8"/>
        <v>1</v>
      </c>
      <c r="AG18" s="1">
        <f t="shared" si="9"/>
        <v>0</v>
      </c>
      <c r="AH18" s="1">
        <f t="shared" si="10"/>
        <v>0</v>
      </c>
      <c r="AI18" s="23">
        <f t="shared" si="11"/>
        <v>5.434782608695652E-3</v>
      </c>
      <c r="AJ18" s="23">
        <f t="shared" si="12"/>
        <v>1.6289471596318628E-3</v>
      </c>
      <c r="AK18" s="23">
        <f t="shared" si="13"/>
        <v>5.3755256267851471E-2</v>
      </c>
      <c r="AL18" s="23">
        <f t="shared" si="14"/>
        <v>5.3755256267851471E-2</v>
      </c>
      <c r="AM18" s="23">
        <f t="shared" si="15"/>
        <v>0</v>
      </c>
      <c r="AN18" s="23">
        <f t="shared" si="16"/>
        <v>5.3755256267851471E-2</v>
      </c>
      <c r="AQ18" s="32">
        <f t="shared" si="17"/>
        <v>42736</v>
      </c>
      <c r="AR18" s="32">
        <f t="shared" si="18"/>
        <v>42916</v>
      </c>
      <c r="AS18" s="50">
        <v>33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0.14986313868613138</v>
      </c>
      <c r="BA18" s="23">
        <f t="shared" si="26"/>
        <v>2.472741788321168</v>
      </c>
      <c r="BB18" s="23">
        <f t="shared" si="27"/>
        <v>2.472741788321168</v>
      </c>
      <c r="BC18" s="23">
        <f t="shared" si="28"/>
        <v>0</v>
      </c>
      <c r="BD18" s="23">
        <f t="shared" si="29"/>
        <v>2.472741788321168</v>
      </c>
    </row>
    <row r="19" spans="1:56">
      <c r="A19" s="1" t="s">
        <v>20</v>
      </c>
      <c r="B19" s="1" t="s">
        <v>46</v>
      </c>
      <c r="C19" s="1" t="s">
        <v>22</v>
      </c>
      <c r="D19" s="1" t="s">
        <v>47</v>
      </c>
      <c r="E19" s="51" t="s">
        <v>107</v>
      </c>
      <c r="F19" s="51" t="s">
        <v>108</v>
      </c>
      <c r="G19" s="51" t="s">
        <v>109</v>
      </c>
      <c r="H19" s="1" t="s">
        <v>642</v>
      </c>
      <c r="I19" s="1" t="s">
        <v>147</v>
      </c>
      <c r="J19" s="51" t="s">
        <v>148</v>
      </c>
      <c r="K19" s="51" t="s">
        <v>112</v>
      </c>
      <c r="L19" s="51" t="s">
        <v>112</v>
      </c>
      <c r="M19" s="1">
        <v>2003031</v>
      </c>
      <c r="N19" s="50" t="s">
        <v>920</v>
      </c>
      <c r="O19" s="55">
        <f>DATE(2015,5,1)</f>
        <v>42125</v>
      </c>
      <c r="P19" s="55">
        <f>DATE(2016,12,1)</f>
        <v>42705</v>
      </c>
      <c r="Q19" s="51">
        <v>1700</v>
      </c>
      <c r="S19" s="51">
        <v>2.5</v>
      </c>
      <c r="U19" s="1">
        <f t="shared" si="0"/>
        <v>581</v>
      </c>
      <c r="V19" s="31">
        <f t="shared" si="1"/>
        <v>2.9259896729776247</v>
      </c>
      <c r="W19" s="31">
        <f t="shared" si="2"/>
        <v>1067.9862306368329</v>
      </c>
      <c r="X19" s="31">
        <f t="shared" si="3"/>
        <v>1.3349827882960412</v>
      </c>
      <c r="AA19" s="32">
        <f t="shared" si="4"/>
        <v>42552</v>
      </c>
      <c r="AB19" s="32">
        <f t="shared" si="5"/>
        <v>42735</v>
      </c>
      <c r="AC19" s="50">
        <v>41</v>
      </c>
      <c r="AD19" s="1">
        <f t="shared" si="6"/>
        <v>0</v>
      </c>
      <c r="AE19" s="1">
        <f t="shared" si="7"/>
        <v>0</v>
      </c>
      <c r="AF19" s="1">
        <f t="shared" si="8"/>
        <v>154</v>
      </c>
      <c r="AG19" s="1">
        <f t="shared" si="9"/>
        <v>0</v>
      </c>
      <c r="AH19" s="1">
        <f t="shared" si="10"/>
        <v>0</v>
      </c>
      <c r="AI19" s="23">
        <f t="shared" si="11"/>
        <v>0.83695652173913049</v>
      </c>
      <c r="AJ19" s="23">
        <f t="shared" si="12"/>
        <v>1.1173225510738607</v>
      </c>
      <c r="AK19" s="23">
        <f t="shared" si="13"/>
        <v>45.810224594028291</v>
      </c>
      <c r="AL19" s="23">
        <f t="shared" si="14"/>
        <v>114.52556148507072</v>
      </c>
      <c r="AM19" s="23">
        <f t="shared" si="15"/>
        <v>57.262780742535362</v>
      </c>
      <c r="AN19" s="23">
        <f t="shared" si="16"/>
        <v>171.78834222760608</v>
      </c>
      <c r="AQ19" s="32">
        <f t="shared" si="17"/>
        <v>42736</v>
      </c>
      <c r="AR19" s="32">
        <f t="shared" si="18"/>
        <v>42916</v>
      </c>
      <c r="AS19" s="50">
        <v>41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0.66749139414802061</v>
      </c>
      <c r="BA19" s="23">
        <f t="shared" si="26"/>
        <v>13.683573580034423</v>
      </c>
      <c r="BB19" s="23">
        <f t="shared" si="27"/>
        <v>34.208933950086056</v>
      </c>
      <c r="BC19" s="23">
        <f t="shared" si="28"/>
        <v>17.104466975043028</v>
      </c>
      <c r="BD19" s="23">
        <f t="shared" si="29"/>
        <v>51.313400925129088</v>
      </c>
    </row>
    <row r="20" spans="1:56">
      <c r="A20" s="1" t="s">
        <v>20</v>
      </c>
      <c r="B20" s="1" t="s">
        <v>46</v>
      </c>
      <c r="C20" s="1" t="s">
        <v>22</v>
      </c>
      <c r="D20" s="1" t="s">
        <v>47</v>
      </c>
      <c r="E20" s="51" t="s">
        <v>107</v>
      </c>
      <c r="F20" s="51" t="s">
        <v>439</v>
      </c>
      <c r="G20" s="51" t="s">
        <v>109</v>
      </c>
      <c r="H20" s="1" t="s">
        <v>917</v>
      </c>
      <c r="I20" s="1" t="s">
        <v>116</v>
      </c>
      <c r="J20" s="51" t="s">
        <v>112</v>
      </c>
      <c r="K20" s="51" t="s">
        <v>112</v>
      </c>
      <c r="L20" s="51" t="s">
        <v>112</v>
      </c>
      <c r="M20" s="1">
        <v>2003033</v>
      </c>
      <c r="N20" s="50" t="s">
        <v>921</v>
      </c>
      <c r="O20" s="55">
        <f>DATE(2015,5,1)</f>
        <v>42125</v>
      </c>
      <c r="P20" s="55">
        <f>DATE(2016,12,1)</f>
        <v>42705</v>
      </c>
      <c r="Q20" s="51">
        <v>420</v>
      </c>
      <c r="S20" s="51">
        <v>1</v>
      </c>
      <c r="U20" s="1">
        <f t="shared" si="0"/>
        <v>581</v>
      </c>
      <c r="V20" s="31">
        <f t="shared" si="1"/>
        <v>0.72289156626506024</v>
      </c>
      <c r="W20" s="31">
        <f t="shared" si="2"/>
        <v>263.85542168674698</v>
      </c>
      <c r="X20" s="31">
        <f t="shared" si="3"/>
        <v>0.32981927710843373</v>
      </c>
      <c r="AA20" s="32">
        <f t="shared" si="4"/>
        <v>42552</v>
      </c>
      <c r="AB20" s="32">
        <f t="shared" si="5"/>
        <v>42735</v>
      </c>
      <c r="AC20" s="50">
        <v>40</v>
      </c>
      <c r="AD20" s="1">
        <f t="shared" si="6"/>
        <v>0</v>
      </c>
      <c r="AE20" s="1">
        <f t="shared" si="7"/>
        <v>0</v>
      </c>
      <c r="AF20" s="1">
        <f t="shared" si="8"/>
        <v>154</v>
      </c>
      <c r="AG20" s="1">
        <f t="shared" si="9"/>
        <v>0</v>
      </c>
      <c r="AH20" s="1">
        <f t="shared" si="10"/>
        <v>0</v>
      </c>
      <c r="AI20" s="23">
        <f t="shared" si="11"/>
        <v>0.83695652173913049</v>
      </c>
      <c r="AJ20" s="23">
        <f t="shared" si="12"/>
        <v>0.2760443949711891</v>
      </c>
      <c r="AK20" s="23">
        <f t="shared" si="13"/>
        <v>11.041775798847564</v>
      </c>
      <c r="AL20" s="23">
        <f t="shared" si="14"/>
        <v>11.041775798847564</v>
      </c>
      <c r="AM20" s="23">
        <f t="shared" si="15"/>
        <v>0</v>
      </c>
      <c r="AN20" s="23">
        <f t="shared" si="16"/>
        <v>11.041775798847564</v>
      </c>
      <c r="AQ20" s="32">
        <f t="shared" si="17"/>
        <v>42736</v>
      </c>
      <c r="AR20" s="32">
        <f t="shared" si="18"/>
        <v>42916</v>
      </c>
      <c r="AS20" s="50">
        <v>40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0.16490963855421686</v>
      </c>
      <c r="BA20" s="23">
        <f t="shared" si="26"/>
        <v>3.2981927710843371</v>
      </c>
      <c r="BB20" s="23">
        <f t="shared" si="27"/>
        <v>3.2981927710843371</v>
      </c>
      <c r="BC20" s="23">
        <f t="shared" si="28"/>
        <v>0</v>
      </c>
      <c r="BD20" s="23">
        <f t="shared" si="29"/>
        <v>3.2981927710843371</v>
      </c>
    </row>
    <row r="21" spans="1:56">
      <c r="A21" s="1" t="s">
        <v>20</v>
      </c>
      <c r="B21" s="1" t="s">
        <v>46</v>
      </c>
      <c r="C21" s="1" t="s">
        <v>22</v>
      </c>
      <c r="D21" s="1" t="s">
        <v>47</v>
      </c>
      <c r="E21" s="51" t="s">
        <v>107</v>
      </c>
      <c r="F21" s="51" t="s">
        <v>439</v>
      </c>
      <c r="G21" s="51" t="s">
        <v>109</v>
      </c>
      <c r="H21" s="1" t="s">
        <v>906</v>
      </c>
      <c r="I21" s="1" t="s">
        <v>116</v>
      </c>
      <c r="J21" s="51" t="s">
        <v>112</v>
      </c>
      <c r="K21" s="51" t="s">
        <v>112</v>
      </c>
      <c r="L21" s="51" t="s">
        <v>112</v>
      </c>
      <c r="M21" s="1">
        <v>2003034</v>
      </c>
      <c r="N21" s="50" t="s">
        <v>922</v>
      </c>
      <c r="O21" s="55">
        <f>DATE(2015,5,1)</f>
        <v>42125</v>
      </c>
      <c r="P21" s="55">
        <f>DATE(2016,12,1)</f>
        <v>42705</v>
      </c>
      <c r="Q21" s="51">
        <v>360</v>
      </c>
      <c r="S21" s="51">
        <v>1</v>
      </c>
      <c r="U21" s="1">
        <f t="shared" si="0"/>
        <v>581</v>
      </c>
      <c r="V21" s="31">
        <f t="shared" si="1"/>
        <v>0.61962134251290879</v>
      </c>
      <c r="W21" s="31">
        <f t="shared" si="2"/>
        <v>226.1617900172117</v>
      </c>
      <c r="X21" s="31">
        <f t="shared" si="3"/>
        <v>0.28270223752151463</v>
      </c>
      <c r="AA21" s="32">
        <f t="shared" si="4"/>
        <v>42552</v>
      </c>
      <c r="AB21" s="32">
        <f t="shared" si="5"/>
        <v>42735</v>
      </c>
      <c r="AC21" s="50">
        <v>40</v>
      </c>
      <c r="AD21" s="1">
        <f t="shared" si="6"/>
        <v>0</v>
      </c>
      <c r="AE21" s="1">
        <f t="shared" si="7"/>
        <v>0</v>
      </c>
      <c r="AF21" s="1">
        <f t="shared" si="8"/>
        <v>154</v>
      </c>
      <c r="AG21" s="1">
        <f t="shared" si="9"/>
        <v>0</v>
      </c>
      <c r="AH21" s="1">
        <f t="shared" si="10"/>
        <v>0</v>
      </c>
      <c r="AI21" s="23">
        <f t="shared" si="11"/>
        <v>0.83695652173913049</v>
      </c>
      <c r="AJ21" s="23">
        <f t="shared" si="12"/>
        <v>0.23660948140387639</v>
      </c>
      <c r="AK21" s="23">
        <f t="shared" si="13"/>
        <v>9.4643792561550555</v>
      </c>
      <c r="AL21" s="23">
        <f t="shared" si="14"/>
        <v>9.4643792561550555</v>
      </c>
      <c r="AM21" s="23">
        <f t="shared" si="15"/>
        <v>0</v>
      </c>
      <c r="AN21" s="23">
        <f t="shared" si="16"/>
        <v>9.4643792561550555</v>
      </c>
      <c r="AQ21" s="32">
        <f t="shared" si="17"/>
        <v>42736</v>
      </c>
      <c r="AR21" s="32">
        <f t="shared" si="18"/>
        <v>42916</v>
      </c>
      <c r="AS21" s="50">
        <v>40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0.14135111876075732</v>
      </c>
      <c r="BA21" s="23">
        <f t="shared" si="26"/>
        <v>2.8270223752151464</v>
      </c>
      <c r="BB21" s="23">
        <f t="shared" si="27"/>
        <v>2.8270223752151464</v>
      </c>
      <c r="BC21" s="23">
        <f t="shared" si="28"/>
        <v>0</v>
      </c>
      <c r="BD21" s="23">
        <f t="shared" si="29"/>
        <v>2.8270223752151464</v>
      </c>
    </row>
    <row r="22" spans="1:56">
      <c r="A22" s="1" t="s">
        <v>20</v>
      </c>
      <c r="B22" s="1" t="s">
        <v>46</v>
      </c>
      <c r="C22" s="1" t="s">
        <v>22</v>
      </c>
      <c r="D22" s="1" t="s">
        <v>47</v>
      </c>
      <c r="E22" s="51" t="s">
        <v>107</v>
      </c>
      <c r="F22" s="51" t="s">
        <v>439</v>
      </c>
      <c r="G22" s="51" t="s">
        <v>109</v>
      </c>
      <c r="H22" s="1" t="s">
        <v>917</v>
      </c>
      <c r="I22" s="1" t="s">
        <v>116</v>
      </c>
      <c r="J22" s="51" t="s">
        <v>112</v>
      </c>
      <c r="K22" s="51" t="s">
        <v>112</v>
      </c>
      <c r="L22" s="51" t="s">
        <v>112</v>
      </c>
      <c r="M22" s="1">
        <v>2003063</v>
      </c>
      <c r="N22" s="50" t="s">
        <v>923</v>
      </c>
      <c r="O22" s="55">
        <f>DATE(2015,8,1)</f>
        <v>42217</v>
      </c>
      <c r="P22" s="55">
        <f>DATE(2016,7,1)</f>
        <v>42552</v>
      </c>
      <c r="Q22" s="51">
        <v>420</v>
      </c>
      <c r="S22" s="51">
        <v>1</v>
      </c>
      <c r="U22" s="1">
        <f t="shared" si="0"/>
        <v>336</v>
      </c>
      <c r="V22" s="31">
        <f t="shared" si="1"/>
        <v>1.25</v>
      </c>
      <c r="W22" s="31">
        <f t="shared" si="2"/>
        <v>420</v>
      </c>
      <c r="X22" s="31">
        <f t="shared" si="3"/>
        <v>0.52500000000000002</v>
      </c>
      <c r="AA22" s="32">
        <f t="shared" si="4"/>
        <v>42552</v>
      </c>
      <c r="AB22" s="32">
        <f t="shared" si="5"/>
        <v>42735</v>
      </c>
      <c r="AC22" s="50">
        <v>40</v>
      </c>
      <c r="AD22" s="1">
        <f t="shared" si="6"/>
        <v>0</v>
      </c>
      <c r="AE22" s="1">
        <f t="shared" si="7"/>
        <v>0</v>
      </c>
      <c r="AF22" s="1">
        <f t="shared" si="8"/>
        <v>1</v>
      </c>
      <c r="AG22" s="1">
        <f t="shared" si="9"/>
        <v>0</v>
      </c>
      <c r="AH22" s="1">
        <f t="shared" si="10"/>
        <v>0</v>
      </c>
      <c r="AI22" s="23">
        <f t="shared" si="11"/>
        <v>5.434782608695652E-3</v>
      </c>
      <c r="AJ22" s="23">
        <f t="shared" si="12"/>
        <v>2.8532608695652174E-3</v>
      </c>
      <c r="AK22" s="23">
        <f t="shared" si="13"/>
        <v>0.1141304347826087</v>
      </c>
      <c r="AL22" s="23">
        <f t="shared" si="14"/>
        <v>0.1141304347826087</v>
      </c>
      <c r="AM22" s="23">
        <f t="shared" si="15"/>
        <v>0</v>
      </c>
      <c r="AN22" s="23">
        <f t="shared" si="16"/>
        <v>0.1141304347826087</v>
      </c>
      <c r="AQ22" s="32">
        <f t="shared" si="17"/>
        <v>42736</v>
      </c>
      <c r="AR22" s="32">
        <f t="shared" si="18"/>
        <v>42916</v>
      </c>
      <c r="AS22" s="50">
        <v>40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0.26250000000000001</v>
      </c>
      <c r="BA22" s="23">
        <f t="shared" si="26"/>
        <v>5.25</v>
      </c>
      <c r="BB22" s="23">
        <f t="shared" si="27"/>
        <v>5.25</v>
      </c>
      <c r="BC22" s="23">
        <f t="shared" si="28"/>
        <v>0</v>
      </c>
      <c r="BD22" s="23">
        <f t="shared" si="29"/>
        <v>5.25</v>
      </c>
    </row>
    <row r="23" spans="1:56">
      <c r="A23" s="1" t="s">
        <v>20</v>
      </c>
      <c r="B23" s="1" t="s">
        <v>46</v>
      </c>
      <c r="C23" s="1" t="s">
        <v>22</v>
      </c>
      <c r="D23" s="1" t="s">
        <v>47</v>
      </c>
      <c r="E23" s="51" t="s">
        <v>107</v>
      </c>
      <c r="F23" s="51" t="s">
        <v>439</v>
      </c>
      <c r="G23" s="51" t="s">
        <v>109</v>
      </c>
      <c r="H23" s="1" t="s">
        <v>906</v>
      </c>
      <c r="I23" s="1" t="s">
        <v>116</v>
      </c>
      <c r="J23" s="51" t="s">
        <v>112</v>
      </c>
      <c r="K23" s="51" t="s">
        <v>112</v>
      </c>
      <c r="L23" s="51" t="s">
        <v>112</v>
      </c>
      <c r="M23" s="1">
        <v>2003066</v>
      </c>
      <c r="N23" s="50" t="s">
        <v>924</v>
      </c>
      <c r="O23" s="55">
        <f>DATE(2015,8,1)</f>
        <v>42217</v>
      </c>
      <c r="P23" s="55">
        <f>DATE(2016,7,1)</f>
        <v>42552</v>
      </c>
      <c r="Q23" s="51">
        <v>360</v>
      </c>
      <c r="S23" s="51">
        <v>1</v>
      </c>
      <c r="U23" s="1">
        <f t="shared" si="0"/>
        <v>336</v>
      </c>
      <c r="V23" s="31">
        <f t="shared" si="1"/>
        <v>1.0714285714285714</v>
      </c>
      <c r="W23" s="31">
        <f t="shared" si="2"/>
        <v>360</v>
      </c>
      <c r="X23" s="31">
        <f t="shared" si="3"/>
        <v>0.45</v>
      </c>
      <c r="AA23" s="32">
        <f t="shared" si="4"/>
        <v>42552</v>
      </c>
      <c r="AB23" s="32">
        <f t="shared" si="5"/>
        <v>42735</v>
      </c>
      <c r="AC23" s="50">
        <v>39</v>
      </c>
      <c r="AD23" s="1">
        <f t="shared" si="6"/>
        <v>0</v>
      </c>
      <c r="AE23" s="1">
        <f t="shared" si="7"/>
        <v>0</v>
      </c>
      <c r="AF23" s="1">
        <f t="shared" si="8"/>
        <v>1</v>
      </c>
      <c r="AG23" s="1">
        <f t="shared" si="9"/>
        <v>0</v>
      </c>
      <c r="AH23" s="1">
        <f t="shared" si="10"/>
        <v>0</v>
      </c>
      <c r="AI23" s="23">
        <f t="shared" si="11"/>
        <v>5.434782608695652E-3</v>
      </c>
      <c r="AJ23" s="23">
        <f t="shared" si="12"/>
        <v>2.4456521739130437E-3</v>
      </c>
      <c r="AK23" s="23">
        <f t="shared" si="13"/>
        <v>9.53804347826087E-2</v>
      </c>
      <c r="AL23" s="23">
        <f t="shared" si="14"/>
        <v>9.53804347826087E-2</v>
      </c>
      <c r="AM23" s="23">
        <f t="shared" si="15"/>
        <v>0</v>
      </c>
      <c r="AN23" s="23">
        <f t="shared" si="16"/>
        <v>9.53804347826087E-2</v>
      </c>
      <c r="AQ23" s="32">
        <f t="shared" si="17"/>
        <v>42736</v>
      </c>
      <c r="AR23" s="32">
        <f t="shared" si="18"/>
        <v>42916</v>
      </c>
      <c r="AS23" s="50">
        <v>39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0.22500000000000001</v>
      </c>
      <c r="BA23" s="23">
        <f t="shared" si="26"/>
        <v>4.3875000000000002</v>
      </c>
      <c r="BB23" s="23">
        <f t="shared" si="27"/>
        <v>4.3875000000000002</v>
      </c>
      <c r="BC23" s="23">
        <f t="shared" si="28"/>
        <v>0</v>
      </c>
      <c r="BD23" s="23">
        <f t="shared" si="29"/>
        <v>4.3875000000000002</v>
      </c>
    </row>
    <row r="24" spans="1:56">
      <c r="A24" s="1" t="s">
        <v>20</v>
      </c>
      <c r="B24" s="1" t="s">
        <v>46</v>
      </c>
      <c r="C24" s="1" t="s">
        <v>22</v>
      </c>
      <c r="D24" s="1" t="s">
        <v>47</v>
      </c>
      <c r="E24" s="51" t="s">
        <v>107</v>
      </c>
      <c r="F24" s="51" t="s">
        <v>439</v>
      </c>
      <c r="G24" s="51" t="s">
        <v>109</v>
      </c>
      <c r="H24" s="1" t="s">
        <v>925</v>
      </c>
      <c r="I24" s="1" t="s">
        <v>167</v>
      </c>
      <c r="J24" s="51" t="s">
        <v>112</v>
      </c>
      <c r="K24" s="51" t="s">
        <v>112</v>
      </c>
      <c r="L24" s="51" t="s">
        <v>112</v>
      </c>
      <c r="M24" s="1">
        <v>2003079</v>
      </c>
      <c r="N24" s="50" t="s">
        <v>926</v>
      </c>
      <c r="O24" s="55">
        <f>DATE(2015,7,1)</f>
        <v>42186</v>
      </c>
      <c r="P24" s="55">
        <f>DATE(2016,12,1)</f>
        <v>42705</v>
      </c>
      <c r="Q24" s="51">
        <v>790</v>
      </c>
      <c r="S24" s="51">
        <v>1</v>
      </c>
      <c r="U24" s="1">
        <f t="shared" si="0"/>
        <v>520</v>
      </c>
      <c r="V24" s="31">
        <f t="shared" si="1"/>
        <v>1.5192307692307692</v>
      </c>
      <c r="W24" s="31">
        <f t="shared" si="2"/>
        <v>554.51923076923072</v>
      </c>
      <c r="X24" s="31">
        <f t="shared" si="3"/>
        <v>0.69314903846153841</v>
      </c>
      <c r="AA24" s="32">
        <f t="shared" si="4"/>
        <v>42552</v>
      </c>
      <c r="AB24" s="32">
        <f t="shared" si="5"/>
        <v>42735</v>
      </c>
      <c r="AC24" s="50">
        <v>33</v>
      </c>
      <c r="AD24" s="1">
        <f t="shared" si="6"/>
        <v>0</v>
      </c>
      <c r="AE24" s="1">
        <f t="shared" si="7"/>
        <v>0</v>
      </c>
      <c r="AF24" s="1">
        <f t="shared" si="8"/>
        <v>154</v>
      </c>
      <c r="AG24" s="1">
        <f t="shared" si="9"/>
        <v>0</v>
      </c>
      <c r="AH24" s="1">
        <f t="shared" si="10"/>
        <v>0</v>
      </c>
      <c r="AI24" s="23">
        <f t="shared" si="11"/>
        <v>0.83695652173913049</v>
      </c>
      <c r="AJ24" s="23">
        <f t="shared" si="12"/>
        <v>0.58013560827759192</v>
      </c>
      <c r="AK24" s="23">
        <f t="shared" si="13"/>
        <v>19.144475073160532</v>
      </c>
      <c r="AL24" s="23">
        <f t="shared" si="14"/>
        <v>19.144475073160532</v>
      </c>
      <c r="AM24" s="23">
        <f t="shared" si="15"/>
        <v>0</v>
      </c>
      <c r="AN24" s="23">
        <f t="shared" si="16"/>
        <v>19.144475073160532</v>
      </c>
      <c r="AQ24" s="32">
        <f t="shared" si="17"/>
        <v>42736</v>
      </c>
      <c r="AR24" s="32">
        <f t="shared" si="18"/>
        <v>42916</v>
      </c>
      <c r="AS24" s="50">
        <v>33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0.34657451923076921</v>
      </c>
      <c r="BA24" s="23">
        <f t="shared" si="26"/>
        <v>5.7184795673076918</v>
      </c>
      <c r="BB24" s="23">
        <f t="shared" si="27"/>
        <v>5.7184795673076918</v>
      </c>
      <c r="BC24" s="23">
        <f t="shared" si="28"/>
        <v>0</v>
      </c>
      <c r="BD24" s="23">
        <f t="shared" si="29"/>
        <v>5.7184795673076918</v>
      </c>
    </row>
    <row r="25" spans="1:56">
      <c r="A25" s="1" t="s">
        <v>20</v>
      </c>
      <c r="B25" s="1" t="s">
        <v>46</v>
      </c>
      <c r="C25" s="1" t="s">
        <v>22</v>
      </c>
      <c r="D25" s="1" t="s">
        <v>47</v>
      </c>
      <c r="E25" s="51" t="s">
        <v>107</v>
      </c>
      <c r="F25" s="51" t="s">
        <v>108</v>
      </c>
      <c r="G25" s="51" t="s">
        <v>109</v>
      </c>
      <c r="H25" s="1" t="s">
        <v>642</v>
      </c>
      <c r="I25" s="1" t="s">
        <v>147</v>
      </c>
      <c r="J25" s="51" t="s">
        <v>148</v>
      </c>
      <c r="K25" s="51" t="s">
        <v>112</v>
      </c>
      <c r="L25" s="51" t="s">
        <v>112</v>
      </c>
      <c r="M25" s="1">
        <v>2003447</v>
      </c>
      <c r="N25" s="50" t="s">
        <v>927</v>
      </c>
      <c r="O25" s="55">
        <f>DATE(2015,1,1)</f>
        <v>42005</v>
      </c>
      <c r="P25" s="55">
        <f>DATE(2016,7,1)</f>
        <v>42552</v>
      </c>
      <c r="Q25" s="51">
        <v>1700</v>
      </c>
      <c r="S25" s="51">
        <v>2.5</v>
      </c>
      <c r="U25" s="1">
        <f t="shared" si="0"/>
        <v>548</v>
      </c>
      <c r="V25" s="31">
        <f t="shared" si="1"/>
        <v>3.1021897810218979</v>
      </c>
      <c r="W25" s="31">
        <f t="shared" si="2"/>
        <v>1132.2992700729928</v>
      </c>
      <c r="X25" s="31">
        <f t="shared" si="3"/>
        <v>1.4153740875912411</v>
      </c>
      <c r="AA25" s="32">
        <f t="shared" si="4"/>
        <v>42552</v>
      </c>
      <c r="AB25" s="32">
        <f t="shared" si="5"/>
        <v>42735</v>
      </c>
      <c r="AC25" s="50">
        <v>40</v>
      </c>
      <c r="AD25" s="1">
        <f t="shared" si="6"/>
        <v>0</v>
      </c>
      <c r="AE25" s="1">
        <f t="shared" si="7"/>
        <v>0</v>
      </c>
      <c r="AF25" s="1">
        <f t="shared" si="8"/>
        <v>1</v>
      </c>
      <c r="AG25" s="1">
        <f t="shared" si="9"/>
        <v>0</v>
      </c>
      <c r="AH25" s="1">
        <f t="shared" si="10"/>
        <v>0</v>
      </c>
      <c r="AI25" s="23">
        <f t="shared" si="11"/>
        <v>5.434782608695652E-3</v>
      </c>
      <c r="AJ25" s="23">
        <f t="shared" si="12"/>
        <v>7.6922504760393532E-3</v>
      </c>
      <c r="AK25" s="23">
        <f t="shared" si="13"/>
        <v>0.30769001904157411</v>
      </c>
      <c r="AL25" s="23">
        <f t="shared" si="14"/>
        <v>0.76922504760393529</v>
      </c>
      <c r="AM25" s="23">
        <f t="shared" si="15"/>
        <v>0.38461252380196764</v>
      </c>
      <c r="AN25" s="23">
        <f t="shared" si="16"/>
        <v>1.1538375714059028</v>
      </c>
      <c r="AQ25" s="32">
        <f t="shared" si="17"/>
        <v>42736</v>
      </c>
      <c r="AR25" s="32">
        <f t="shared" si="18"/>
        <v>42916</v>
      </c>
      <c r="AS25" s="50">
        <v>40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0.70768704379562053</v>
      </c>
      <c r="BA25" s="23">
        <f t="shared" si="26"/>
        <v>14.15374087591241</v>
      </c>
      <c r="BB25" s="23">
        <f t="shared" si="27"/>
        <v>35.384352189781026</v>
      </c>
      <c r="BC25" s="23">
        <f t="shared" si="28"/>
        <v>17.692176094890513</v>
      </c>
      <c r="BD25" s="23">
        <f t="shared" si="29"/>
        <v>53.076528284671539</v>
      </c>
    </row>
    <row r="26" spans="1:56">
      <c r="A26" s="1" t="s">
        <v>20</v>
      </c>
      <c r="B26" s="1" t="s">
        <v>46</v>
      </c>
      <c r="C26" s="1" t="s">
        <v>22</v>
      </c>
      <c r="D26" s="1" t="s">
        <v>47</v>
      </c>
      <c r="E26" s="51" t="s">
        <v>107</v>
      </c>
      <c r="F26" s="51" t="s">
        <v>108</v>
      </c>
      <c r="G26" s="51" t="s">
        <v>109</v>
      </c>
      <c r="H26" s="1" t="s">
        <v>735</v>
      </c>
      <c r="I26" s="1" t="s">
        <v>720</v>
      </c>
      <c r="J26" s="51" t="s">
        <v>148</v>
      </c>
      <c r="K26" s="51" t="s">
        <v>112</v>
      </c>
      <c r="L26" s="51" t="s">
        <v>112</v>
      </c>
      <c r="M26" s="1">
        <v>2032714</v>
      </c>
      <c r="N26" s="51" t="s">
        <v>928</v>
      </c>
      <c r="O26" s="55">
        <f>DATE(2016,5,14)</f>
        <v>42504</v>
      </c>
      <c r="P26" s="55">
        <f>DATE(2017,7,14)</f>
        <v>42930</v>
      </c>
      <c r="Q26" s="51">
        <v>1400</v>
      </c>
      <c r="S26" s="51">
        <v>2.5</v>
      </c>
      <c r="U26" s="1">
        <f t="shared" si="0"/>
        <v>427</v>
      </c>
      <c r="V26" s="31">
        <f t="shared" si="1"/>
        <v>3.278688524590164</v>
      </c>
      <c r="W26" s="31">
        <f t="shared" si="2"/>
        <v>1196.7213114754099</v>
      </c>
      <c r="X26" s="31">
        <f t="shared" si="3"/>
        <v>1.4959016393442623</v>
      </c>
      <c r="AA26" s="32">
        <f t="shared" si="4"/>
        <v>42552</v>
      </c>
      <c r="AB26" s="32">
        <f t="shared" si="5"/>
        <v>42735</v>
      </c>
      <c r="AC26" s="51">
        <v>37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1.4959016393442623</v>
      </c>
      <c r="AK26" s="23">
        <f t="shared" si="13"/>
        <v>55.348360655737707</v>
      </c>
      <c r="AL26" s="23">
        <f t="shared" si="14"/>
        <v>138.37090163934425</v>
      </c>
      <c r="AM26" s="23">
        <f t="shared" si="15"/>
        <v>69.185450819672127</v>
      </c>
      <c r="AN26" s="23">
        <f t="shared" si="16"/>
        <v>207.55635245901638</v>
      </c>
      <c r="AQ26" s="32">
        <f t="shared" si="17"/>
        <v>42736</v>
      </c>
      <c r="AR26" s="32">
        <f t="shared" si="18"/>
        <v>42916</v>
      </c>
      <c r="AS26" s="51">
        <v>25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1.4959016393442623</v>
      </c>
      <c r="BA26" s="23">
        <f t="shared" si="26"/>
        <v>37.397540983606561</v>
      </c>
      <c r="BB26" s="23">
        <f t="shared" si="27"/>
        <v>93.493852459016409</v>
      </c>
      <c r="BC26" s="23">
        <f t="shared" si="28"/>
        <v>46.746926229508205</v>
      </c>
      <c r="BD26" s="23">
        <f t="shared" si="29"/>
        <v>140.24077868852461</v>
      </c>
    </row>
    <row r="27" spans="1:56">
      <c r="A27" s="1" t="s">
        <v>20</v>
      </c>
      <c r="B27" s="1" t="s">
        <v>46</v>
      </c>
      <c r="C27" s="1" t="s">
        <v>22</v>
      </c>
      <c r="D27" s="1" t="s">
        <v>47</v>
      </c>
      <c r="E27" s="51" t="s">
        <v>107</v>
      </c>
      <c r="F27" s="51" t="s">
        <v>232</v>
      </c>
      <c r="G27" s="51" t="s">
        <v>109</v>
      </c>
      <c r="H27" s="1" t="s">
        <v>929</v>
      </c>
      <c r="J27" s="51" t="s">
        <v>112</v>
      </c>
      <c r="K27" s="51" t="s">
        <v>112</v>
      </c>
      <c r="L27" s="51" t="s">
        <v>112</v>
      </c>
      <c r="M27" s="1">
        <v>2035555</v>
      </c>
      <c r="N27" s="50" t="s">
        <v>930</v>
      </c>
      <c r="O27" s="55">
        <f>DATE(2016,5,2)</f>
        <v>42492</v>
      </c>
      <c r="P27" s="55">
        <f>DATE(2018,5,2)</f>
        <v>43222</v>
      </c>
      <c r="Q27" s="51">
        <v>1570</v>
      </c>
      <c r="S27" s="51">
        <v>1</v>
      </c>
      <c r="U27" s="1">
        <f t="shared" si="0"/>
        <v>731</v>
      </c>
      <c r="V27" s="31">
        <f t="shared" si="1"/>
        <v>2.1477428180574556</v>
      </c>
      <c r="W27" s="31">
        <f t="shared" si="2"/>
        <v>783.9261285909713</v>
      </c>
      <c r="X27" s="31">
        <f t="shared" si="3"/>
        <v>0.97990766073871416</v>
      </c>
      <c r="AA27" s="32">
        <f t="shared" si="4"/>
        <v>42552</v>
      </c>
      <c r="AB27" s="32">
        <f t="shared" si="5"/>
        <v>42735</v>
      </c>
      <c r="AC27" s="50">
        <v>77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0.97990766073871416</v>
      </c>
      <c r="AK27" s="23">
        <f t="shared" si="13"/>
        <v>75.452889876880988</v>
      </c>
      <c r="AL27" s="23">
        <f t="shared" si="14"/>
        <v>75.452889876880988</v>
      </c>
      <c r="AM27" s="23">
        <f t="shared" si="15"/>
        <v>0</v>
      </c>
      <c r="AN27" s="23">
        <f t="shared" si="16"/>
        <v>75.452889876880988</v>
      </c>
      <c r="AQ27" s="32">
        <f t="shared" si="17"/>
        <v>42736</v>
      </c>
      <c r="AR27" s="32">
        <f t="shared" si="18"/>
        <v>42916</v>
      </c>
      <c r="AS27" s="50">
        <v>77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0.97990766073871416</v>
      </c>
      <c r="BA27" s="23">
        <f t="shared" si="26"/>
        <v>75.452889876880988</v>
      </c>
      <c r="BB27" s="23">
        <f t="shared" si="27"/>
        <v>75.452889876880988</v>
      </c>
      <c r="BC27" s="23">
        <f t="shared" si="28"/>
        <v>0</v>
      </c>
      <c r="BD27" s="23">
        <f t="shared" si="29"/>
        <v>75.452889876880988</v>
      </c>
    </row>
    <row r="28" spans="1:56">
      <c r="A28" s="1" t="s">
        <v>20</v>
      </c>
      <c r="B28" s="1" t="s">
        <v>46</v>
      </c>
      <c r="C28" s="1" t="s">
        <v>22</v>
      </c>
      <c r="D28" s="1" t="s">
        <v>47</v>
      </c>
      <c r="E28" s="51" t="s">
        <v>107</v>
      </c>
      <c r="F28" s="51" t="s">
        <v>108</v>
      </c>
      <c r="G28" s="51" t="s">
        <v>109</v>
      </c>
      <c r="H28" s="1" t="s">
        <v>902</v>
      </c>
      <c r="I28" s="1" t="s">
        <v>147</v>
      </c>
      <c r="J28" s="51" t="s">
        <v>148</v>
      </c>
      <c r="K28" s="51" t="s">
        <v>112</v>
      </c>
      <c r="L28" s="51" t="s">
        <v>112</v>
      </c>
      <c r="M28" s="1">
        <v>2053227</v>
      </c>
      <c r="N28" s="56" t="s">
        <v>931</v>
      </c>
      <c r="O28" s="55">
        <f>DATE(2013,2,1)</f>
        <v>41306</v>
      </c>
      <c r="P28" s="55">
        <f>DATE(2016,2,1)</f>
        <v>42401</v>
      </c>
      <c r="Q28" s="51">
        <v>4670</v>
      </c>
      <c r="S28" s="51">
        <v>2.5</v>
      </c>
      <c r="U28" s="1">
        <f t="shared" si="0"/>
        <v>1096</v>
      </c>
      <c r="V28" s="31">
        <f t="shared" si="1"/>
        <v>4.2609489051094886</v>
      </c>
      <c r="W28" s="31">
        <f t="shared" si="2"/>
        <v>1555.2463503649633</v>
      </c>
      <c r="X28" s="31">
        <f t="shared" si="3"/>
        <v>1.9440579379562042</v>
      </c>
      <c r="AA28" s="32">
        <f t="shared" si="4"/>
        <v>42552</v>
      </c>
      <c r="AB28" s="32">
        <f t="shared" si="5"/>
        <v>42735</v>
      </c>
      <c r="AC28" s="50">
        <v>38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0.97202896897810209</v>
      </c>
      <c r="AK28" s="23">
        <f t="shared" si="13"/>
        <v>18.468550410583941</v>
      </c>
      <c r="AL28" s="23">
        <f t="shared" si="14"/>
        <v>46.171376026459853</v>
      </c>
      <c r="AM28" s="23">
        <f t="shared" si="15"/>
        <v>23.085688013229927</v>
      </c>
      <c r="AN28" s="23">
        <f t="shared" si="16"/>
        <v>69.25706403968978</v>
      </c>
      <c r="AQ28" s="32">
        <f t="shared" si="17"/>
        <v>42736</v>
      </c>
      <c r="AR28" s="32">
        <f t="shared" si="18"/>
        <v>42916</v>
      </c>
      <c r="AS28" s="56">
        <v>0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0.97202896897810209</v>
      </c>
      <c r="BA28" s="23">
        <f t="shared" si="26"/>
        <v>0</v>
      </c>
      <c r="BB28" s="23">
        <f t="shared" si="27"/>
        <v>0</v>
      </c>
      <c r="BC28" s="23">
        <f t="shared" si="28"/>
        <v>0</v>
      </c>
      <c r="BD28" s="23">
        <f t="shared" si="29"/>
        <v>0</v>
      </c>
    </row>
    <row r="29" spans="1:56">
      <c r="A29" s="1" t="s">
        <v>20</v>
      </c>
      <c r="B29" s="1" t="s">
        <v>46</v>
      </c>
      <c r="C29" s="1" t="s">
        <v>22</v>
      </c>
      <c r="D29" s="1" t="s">
        <v>47</v>
      </c>
      <c r="E29" s="51" t="s">
        <v>107</v>
      </c>
      <c r="F29" s="51" t="s">
        <v>108</v>
      </c>
      <c r="G29" s="51" t="s">
        <v>109</v>
      </c>
      <c r="H29" s="1" t="s">
        <v>932</v>
      </c>
      <c r="I29" s="1" t="s">
        <v>131</v>
      </c>
      <c r="J29" s="51" t="s">
        <v>112</v>
      </c>
      <c r="K29" s="51" t="s">
        <v>112</v>
      </c>
      <c r="L29" s="51" t="s">
        <v>112</v>
      </c>
      <c r="M29" s="1">
        <v>2125217</v>
      </c>
      <c r="N29" s="50" t="s">
        <v>933</v>
      </c>
      <c r="O29" s="55">
        <f>DATE(2013,1,1)</f>
        <v>41275</v>
      </c>
      <c r="P29" s="55">
        <f>DATE(2016,6,1)</f>
        <v>42522</v>
      </c>
      <c r="Q29" s="51">
        <v>3860</v>
      </c>
      <c r="S29" s="51">
        <v>2</v>
      </c>
      <c r="U29" s="1">
        <f t="shared" si="0"/>
        <v>1248</v>
      </c>
      <c r="V29" s="31">
        <f t="shared" si="1"/>
        <v>3.0929487179487181</v>
      </c>
      <c r="W29" s="31">
        <f t="shared" si="2"/>
        <v>1128.926282051282</v>
      </c>
      <c r="X29" s="31">
        <f t="shared" si="3"/>
        <v>1.4111578525641024</v>
      </c>
      <c r="AA29" s="32">
        <f t="shared" si="4"/>
        <v>42552</v>
      </c>
      <c r="AB29" s="32">
        <f t="shared" si="5"/>
        <v>42735</v>
      </c>
      <c r="AC29" s="50">
        <v>3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0.70557892628205121</v>
      </c>
      <c r="AK29" s="23">
        <f t="shared" si="13"/>
        <v>1.0583683894230769</v>
      </c>
      <c r="AL29" s="23">
        <f t="shared" si="14"/>
        <v>2.1167367788461537</v>
      </c>
      <c r="AM29" s="23">
        <f t="shared" si="15"/>
        <v>0</v>
      </c>
      <c r="AN29" s="23">
        <f t="shared" si="16"/>
        <v>2.1167367788461537</v>
      </c>
      <c r="AQ29" s="32">
        <f t="shared" si="17"/>
        <v>42736</v>
      </c>
      <c r="AR29" s="32">
        <f t="shared" si="18"/>
        <v>42916</v>
      </c>
      <c r="AS29" s="50">
        <v>3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0.70557892628205121</v>
      </c>
      <c r="BA29" s="23">
        <f t="shared" si="26"/>
        <v>1.0583683894230769</v>
      </c>
      <c r="BB29" s="23">
        <f t="shared" si="27"/>
        <v>2.1167367788461537</v>
      </c>
      <c r="BC29" s="23">
        <f t="shared" si="28"/>
        <v>0</v>
      </c>
      <c r="BD29" s="23">
        <f t="shared" si="29"/>
        <v>2.1167367788461537</v>
      </c>
    </row>
    <row r="30" spans="1:56">
      <c r="A30" s="1" t="s">
        <v>20</v>
      </c>
      <c r="B30" s="1" t="s">
        <v>46</v>
      </c>
      <c r="C30" s="1" t="s">
        <v>22</v>
      </c>
      <c r="D30" s="1" t="s">
        <v>47</v>
      </c>
      <c r="E30" s="51" t="s">
        <v>107</v>
      </c>
      <c r="F30" s="51" t="s">
        <v>108</v>
      </c>
      <c r="G30" s="51" t="s">
        <v>109</v>
      </c>
      <c r="H30" s="1" t="s">
        <v>642</v>
      </c>
      <c r="I30" s="1" t="s">
        <v>147</v>
      </c>
      <c r="J30" s="51" t="s">
        <v>148</v>
      </c>
      <c r="K30" s="51" t="s">
        <v>112</v>
      </c>
      <c r="L30" s="51" t="s">
        <v>112</v>
      </c>
      <c r="M30" s="1">
        <v>2166980</v>
      </c>
      <c r="N30" s="52" t="s">
        <v>934</v>
      </c>
      <c r="O30" s="55">
        <f>DATE(2017,6,5)</f>
        <v>42891</v>
      </c>
      <c r="P30" s="55">
        <f>DATE(2020,6,5)</f>
        <v>43987</v>
      </c>
      <c r="Q30" s="51">
        <v>3730</v>
      </c>
      <c r="S30" s="51">
        <v>2.5</v>
      </c>
      <c r="U30" s="1">
        <f t="shared" si="0"/>
        <v>1097</v>
      </c>
      <c r="V30" s="31">
        <f t="shared" si="1"/>
        <v>3.4001823154056519</v>
      </c>
      <c r="W30" s="31">
        <f t="shared" si="2"/>
        <v>1241.066545123063</v>
      </c>
      <c r="X30" s="31">
        <f t="shared" si="3"/>
        <v>1.5513331814038287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52">
        <v>78</v>
      </c>
      <c r="AT30" s="1">
        <f t="shared" si="19"/>
        <v>0</v>
      </c>
      <c r="AU30" s="1">
        <f t="shared" si="20"/>
        <v>26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0.143646408839779</v>
      </c>
      <c r="AZ30" s="23">
        <f t="shared" si="25"/>
        <v>0.22284344042264942</v>
      </c>
      <c r="BA30" s="23">
        <f t="shared" si="26"/>
        <v>17.381788352966655</v>
      </c>
      <c r="BB30" s="23">
        <f t="shared" si="27"/>
        <v>43.454470882416636</v>
      </c>
      <c r="BC30" s="23">
        <f t="shared" si="28"/>
        <v>21.727235441208318</v>
      </c>
      <c r="BD30" s="23">
        <f t="shared" si="29"/>
        <v>65.181706323624951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E53"/>
  <sheetViews>
    <sheetView topLeftCell="I20" workbookViewId="0">
      <selection activeCell="N46" sqref="N46"/>
    </sheetView>
  </sheetViews>
  <sheetFormatPr defaultRowHeight="15"/>
  <cols>
    <col min="1" max="1" width="4" style="1" customWidth="1"/>
    <col min="2" max="2" width="14" style="1" customWidth="1"/>
    <col min="3" max="3" width="8.42578125" style="1" customWidth="1"/>
    <col min="4" max="4" width="22.140625" style="1" customWidth="1"/>
    <col min="5" max="5" width="21" style="1" customWidth="1"/>
    <col min="6" max="6" width="15.28515625" style="1" customWidth="1"/>
    <col min="7" max="7" width="11" style="1" customWidth="1"/>
    <col min="8" max="8" width="32.28515625" style="1" customWidth="1"/>
    <col min="9" max="9" width="30.7109375" style="1" customWidth="1"/>
    <col min="10" max="10" width="6.42578125" style="1" customWidth="1"/>
    <col min="11" max="11" width="6.5703125" style="1" customWidth="1"/>
    <col min="12" max="12" width="6.85546875" style="1" customWidth="1"/>
    <col min="13" max="13" width="9.140625" style="1" customWidth="1"/>
    <col min="14" max="14" width="69.28515625" style="1" customWidth="1"/>
    <col min="15" max="15" width="14.28515625" style="32" customWidth="1"/>
    <col min="16" max="16" width="13" style="32" customWidth="1"/>
    <col min="17" max="17" width="9" style="1" customWidth="1"/>
    <col min="18" max="18" width="6.85546875" style="1" customWidth="1"/>
    <col min="19" max="19" width="6.5703125" style="1" customWidth="1"/>
    <col min="20" max="20" width="2.7109375" style="1" customWidth="1"/>
    <col min="21" max="21" width="7.5703125" style="1" customWidth="1"/>
    <col min="22" max="22" width="9.85546875" style="31" customWidth="1"/>
    <col min="23" max="23" width="10.7109375" style="31" customWidth="1"/>
    <col min="24" max="24" width="9.28515625" style="31" customWidth="1"/>
    <col min="25" max="25" width="2.5703125" style="31" customWidth="1"/>
    <col min="26" max="26" width="9.140625" style="31" customWidth="1"/>
    <col min="27" max="27" width="10.85546875" style="32" customWidth="1"/>
    <col min="28" max="28" width="13.28515625" style="32" customWidth="1"/>
    <col min="29" max="29" width="8.5703125" style="1" customWidth="1"/>
    <col min="30" max="30" width="7.28515625" style="1" customWidth="1"/>
    <col min="31" max="31" width="9.42578125" style="1" customWidth="1"/>
    <col min="32" max="32" width="8" style="1" customWidth="1"/>
    <col min="33" max="33" width="8.28515625" style="1" customWidth="1"/>
    <col min="34" max="34" width="10.85546875" style="1" customWidth="1"/>
    <col min="35" max="35" width="9.7109375" style="23" customWidth="1"/>
    <col min="36" max="36" width="10.85546875" style="23" customWidth="1"/>
    <col min="37" max="37" width="9.28515625" style="23" customWidth="1"/>
    <col min="38" max="38" width="10.7109375" style="23" customWidth="1"/>
    <col min="39" max="39" width="8.7109375" style="23" customWidth="1"/>
    <col min="40" max="40" width="10.7109375" style="23" customWidth="1"/>
    <col min="41" max="41" width="3.140625" style="23" customWidth="1"/>
    <col min="42" max="42" width="9.85546875" style="23" customWidth="1"/>
    <col min="43" max="43" width="11.85546875" style="32" customWidth="1"/>
    <col min="44" max="44" width="11.42578125" style="32" customWidth="1"/>
    <col min="45" max="45" width="7.855468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53</v>
      </c>
      <c r="C4" s="1" t="s">
        <v>22</v>
      </c>
      <c r="D4" s="1" t="s">
        <v>54</v>
      </c>
      <c r="E4" s="51" t="s">
        <v>107</v>
      </c>
      <c r="F4" s="51" t="s">
        <v>108</v>
      </c>
      <c r="G4" s="51" t="s">
        <v>109</v>
      </c>
      <c r="H4" s="1" t="s">
        <v>146</v>
      </c>
      <c r="I4" s="1" t="s">
        <v>147</v>
      </c>
      <c r="J4" s="51" t="s">
        <v>148</v>
      </c>
      <c r="K4" s="51" t="s">
        <v>112</v>
      </c>
      <c r="L4" s="51" t="s">
        <v>112</v>
      </c>
      <c r="M4" s="1">
        <v>386936</v>
      </c>
      <c r="N4" s="56" t="s">
        <v>974</v>
      </c>
      <c r="O4" s="55">
        <f t="shared" ref="O4:O10" si="0">DATE(2010,6,1)</f>
        <v>40330</v>
      </c>
      <c r="P4" s="55">
        <f t="shared" ref="P4:P10" si="1">DATE(2013,12,31)</f>
        <v>41639</v>
      </c>
      <c r="Q4" s="51">
        <v>3525</v>
      </c>
      <c r="S4" s="51">
        <v>2.5</v>
      </c>
      <c r="U4" s="1">
        <f t="shared" ref="U4:U35" si="2">P4-O4+1</f>
        <v>1310</v>
      </c>
      <c r="V4" s="31">
        <f t="shared" ref="V4:V35" si="3">Q4/U4</f>
        <v>2.6908396946564888</v>
      </c>
      <c r="W4" s="31">
        <f t="shared" ref="W4:W35" si="4">IF(U4&gt;365,V4*365,Q4)</f>
        <v>982.15648854961842</v>
      </c>
      <c r="X4" s="31">
        <f t="shared" ref="X4:X35" si="5">IF(U4&gt;365,W4/800,Q4/800)</f>
        <v>1.2276956106870229</v>
      </c>
      <c r="AA4" s="32">
        <f t="shared" ref="AA4:AA35" si="6">DATE(2016,7,1)</f>
        <v>42552</v>
      </c>
      <c r="AB4" s="32">
        <f t="shared" ref="AB4:AB35" si="7">DATE(2016,12,31)</f>
        <v>42735</v>
      </c>
      <c r="AC4" s="50">
        <v>23</v>
      </c>
      <c r="AD4" s="1">
        <f t="shared" ref="AD4:AD35" si="8">IF(AND(O4&lt;AA4,P4&gt;AB4),AB4-AA4+1,0)</f>
        <v>0</v>
      </c>
      <c r="AE4" s="1">
        <f t="shared" ref="AE4:AE35" si="9">IF(AND(O4&gt;=AA4,P4&gt;AB4,O4&lt;AB4),AB4-O4+1,0)</f>
        <v>0</v>
      </c>
      <c r="AF4" s="1">
        <f t="shared" ref="AF4:AF35" si="10">IF(AND(O4&lt;AA4,P4&lt;=AB4,P4&gt;=AA4),P4-AA4+1,0)</f>
        <v>0</v>
      </c>
      <c r="AG4" s="1">
        <f t="shared" ref="AG4:AG35" si="11">IF(AND(O4&gt;=AA4,P4&lt;=AB4),P4-O4+1,0)</f>
        <v>0</v>
      </c>
      <c r="AH4" s="1">
        <f t="shared" ref="AH4:AH35" si="12">IF(AND(O4&lt;AA4,P4&lt;AA4),(AB4-AA4+1)/2,0)</f>
        <v>92</v>
      </c>
      <c r="AI4" s="23">
        <f t="shared" ref="AI4:AI35" si="13">SUM(AD4:AH4)/(AB4-AA4+1)</f>
        <v>0.5</v>
      </c>
      <c r="AJ4" s="23">
        <f t="shared" ref="AJ4:AJ35" si="14">X4*AI4</f>
        <v>0.61384780534351147</v>
      </c>
      <c r="AK4" s="23">
        <f t="shared" ref="AK4:AK35" si="15">IF(AH4=0,AJ4*AC4,IF(AA4-P4&gt;1095,0,AJ4*(AC4/2)))</f>
        <v>7.0592497614503822</v>
      </c>
      <c r="AL4" s="23">
        <f t="shared" ref="AL4:AL35" si="16">AK4*S4</f>
        <v>17.648124403625957</v>
      </c>
      <c r="AM4" s="23">
        <f t="shared" ref="AM4:AM35" si="17">IF(J4="SIM",AL4*50%,0)</f>
        <v>8.8240622018129784</v>
      </c>
      <c r="AN4" s="23">
        <f t="shared" ref="AN4:AN35" si="18">AL4+AM4</f>
        <v>26.472186605438935</v>
      </c>
      <c r="AQ4" s="32">
        <f t="shared" ref="AQ4:AQ35" si="19">DATE(2017,1,1)</f>
        <v>42736</v>
      </c>
      <c r="AR4" s="32">
        <f t="shared" ref="AR4:AR35" si="20">DATE(2017,6,30)</f>
        <v>42916</v>
      </c>
      <c r="AS4" s="56">
        <v>0</v>
      </c>
      <c r="AT4" s="1">
        <f t="shared" ref="AT4:AT35" si="21">IF(AND(O4&lt;AQ4,P4&gt;AR4),AR4-AQ4+1,0)</f>
        <v>0</v>
      </c>
      <c r="AU4" s="1">
        <f t="shared" ref="AU4:AU35" si="22">IF(AND(O4&gt;=AQ4,P4&gt;AR4,O4&lt;AR4),AR4-O4+1,0)</f>
        <v>0</v>
      </c>
      <c r="AV4" s="1">
        <f t="shared" ref="AV4:AV35" si="23">IF(AND(O4&lt;AQ4,P4&lt;=AR4,P4&gt;=AQ4),P4-AQ4+1,0)</f>
        <v>0</v>
      </c>
      <c r="AW4" s="1">
        <f t="shared" ref="AW4:AW35" si="24">IF(AND(O4&gt;=AQ4,P4&lt;=AR4),P4-O4+1,0)</f>
        <v>0</v>
      </c>
      <c r="AX4" s="1">
        <f t="shared" ref="AX4:AX35" si="25">IF(AND(O4&lt;AQ4,P4&lt;AQ4),(AR4-AQ4+1)/2,0)</f>
        <v>90.5</v>
      </c>
      <c r="AY4" s="23">
        <f t="shared" ref="AY4:AY35" si="26">SUM(AT4:AX4)/(AR4-AQ4+1)</f>
        <v>0.5</v>
      </c>
      <c r="AZ4" s="23">
        <f t="shared" ref="AZ4:AZ35" si="27">X4*AY4</f>
        <v>0.61384780534351147</v>
      </c>
      <c r="BA4" s="23">
        <f t="shared" ref="BA4:BA35" si="28">IF(AX4=0,AZ4*AS4,IF(AQ4-P4&gt;1095,0,AZ4*(AS4/2)))</f>
        <v>0</v>
      </c>
      <c r="BB4" s="23">
        <f t="shared" ref="BB4:BB35" si="29">BA4*S4</f>
        <v>0</v>
      </c>
      <c r="BC4" s="23">
        <f t="shared" ref="BC4:BC35" si="30">IF(J4="SIM",BB4*50%,0)</f>
        <v>0</v>
      </c>
      <c r="BD4" s="23">
        <f t="shared" ref="BD4:BD35" si="31">BB4+BC4</f>
        <v>0</v>
      </c>
    </row>
    <row r="5" spans="1:57">
      <c r="A5" s="1" t="s">
        <v>20</v>
      </c>
      <c r="B5" s="1" t="s">
        <v>53</v>
      </c>
      <c r="C5" s="1" t="s">
        <v>22</v>
      </c>
      <c r="D5" s="1" t="s">
        <v>54</v>
      </c>
      <c r="E5" s="51" t="s">
        <v>107</v>
      </c>
      <c r="F5" s="51" t="s">
        <v>108</v>
      </c>
      <c r="G5" s="51" t="s">
        <v>109</v>
      </c>
      <c r="H5" s="1" t="s">
        <v>642</v>
      </c>
      <c r="I5" s="1" t="s">
        <v>147</v>
      </c>
      <c r="J5" s="51" t="s">
        <v>148</v>
      </c>
      <c r="K5" s="51" t="s">
        <v>112</v>
      </c>
      <c r="L5" s="51" t="s">
        <v>112</v>
      </c>
      <c r="M5" s="1">
        <v>386951</v>
      </c>
      <c r="N5" s="56" t="s">
        <v>975</v>
      </c>
      <c r="O5" s="55">
        <f t="shared" si="0"/>
        <v>40330</v>
      </c>
      <c r="P5" s="55">
        <f t="shared" si="1"/>
        <v>41639</v>
      </c>
      <c r="Q5" s="51">
        <v>3800</v>
      </c>
      <c r="S5" s="51">
        <v>2.5</v>
      </c>
      <c r="U5" s="1">
        <f t="shared" si="2"/>
        <v>1310</v>
      </c>
      <c r="V5" s="31">
        <f t="shared" si="3"/>
        <v>2.9007633587786259</v>
      </c>
      <c r="W5" s="31">
        <f t="shared" si="4"/>
        <v>1058.7786259541986</v>
      </c>
      <c r="X5" s="31">
        <f t="shared" si="5"/>
        <v>1.3234732824427482</v>
      </c>
      <c r="AA5" s="32">
        <f t="shared" si="6"/>
        <v>42552</v>
      </c>
      <c r="AB5" s="32">
        <f t="shared" si="7"/>
        <v>42735</v>
      </c>
      <c r="AC5" s="50">
        <v>21</v>
      </c>
      <c r="AD5" s="1">
        <f t="shared" si="8"/>
        <v>0</v>
      </c>
      <c r="AE5" s="1">
        <f t="shared" si="9"/>
        <v>0</v>
      </c>
      <c r="AF5" s="1">
        <f t="shared" si="10"/>
        <v>0</v>
      </c>
      <c r="AG5" s="1">
        <f t="shared" si="11"/>
        <v>0</v>
      </c>
      <c r="AH5" s="1">
        <f t="shared" si="12"/>
        <v>92</v>
      </c>
      <c r="AI5" s="23">
        <f t="shared" si="13"/>
        <v>0.5</v>
      </c>
      <c r="AJ5" s="23">
        <f t="shared" si="14"/>
        <v>0.6617366412213741</v>
      </c>
      <c r="AK5" s="23">
        <f t="shared" si="15"/>
        <v>6.9482347328244281</v>
      </c>
      <c r="AL5" s="23">
        <f t="shared" si="16"/>
        <v>17.370586832061072</v>
      </c>
      <c r="AM5" s="23">
        <f t="shared" si="17"/>
        <v>8.685293416030536</v>
      </c>
      <c r="AN5" s="23">
        <f t="shared" si="18"/>
        <v>26.055880248091608</v>
      </c>
      <c r="AQ5" s="32">
        <f t="shared" si="19"/>
        <v>42736</v>
      </c>
      <c r="AR5" s="32">
        <f t="shared" si="20"/>
        <v>42916</v>
      </c>
      <c r="AS5" s="56">
        <v>0</v>
      </c>
      <c r="AT5" s="1">
        <f t="shared" si="21"/>
        <v>0</v>
      </c>
      <c r="AU5" s="1">
        <f t="shared" si="22"/>
        <v>0</v>
      </c>
      <c r="AV5" s="1">
        <f t="shared" si="23"/>
        <v>0</v>
      </c>
      <c r="AW5" s="1">
        <f t="shared" si="24"/>
        <v>0</v>
      </c>
      <c r="AX5" s="1">
        <f t="shared" si="25"/>
        <v>90.5</v>
      </c>
      <c r="AY5" s="23">
        <f t="shared" si="26"/>
        <v>0.5</v>
      </c>
      <c r="AZ5" s="23">
        <f t="shared" si="27"/>
        <v>0.6617366412213741</v>
      </c>
      <c r="BA5" s="23">
        <f t="shared" si="28"/>
        <v>0</v>
      </c>
      <c r="BB5" s="23">
        <f t="shared" si="29"/>
        <v>0</v>
      </c>
      <c r="BC5" s="23">
        <f t="shared" si="30"/>
        <v>0</v>
      </c>
      <c r="BD5" s="23">
        <f t="shared" si="31"/>
        <v>0</v>
      </c>
    </row>
    <row r="6" spans="1:57">
      <c r="A6" s="1" t="s">
        <v>20</v>
      </c>
      <c r="B6" s="1" t="s">
        <v>53</v>
      </c>
      <c r="C6" s="1" t="s">
        <v>22</v>
      </c>
      <c r="D6" s="1" t="s">
        <v>54</v>
      </c>
      <c r="E6" s="51" t="s">
        <v>107</v>
      </c>
      <c r="F6" s="51" t="s">
        <v>108</v>
      </c>
      <c r="G6" s="51" t="s">
        <v>109</v>
      </c>
      <c r="H6" s="1" t="s">
        <v>124</v>
      </c>
      <c r="I6" s="1" t="s">
        <v>125</v>
      </c>
      <c r="J6" s="51" t="s">
        <v>112</v>
      </c>
      <c r="K6" s="51" t="s">
        <v>112</v>
      </c>
      <c r="L6" s="51" t="s">
        <v>112</v>
      </c>
      <c r="M6" s="1">
        <v>386956</v>
      </c>
      <c r="N6" s="56" t="s">
        <v>976</v>
      </c>
      <c r="O6" s="55">
        <f t="shared" si="0"/>
        <v>40330</v>
      </c>
      <c r="P6" s="55">
        <f t="shared" si="1"/>
        <v>41639</v>
      </c>
      <c r="Q6" s="51">
        <v>3615</v>
      </c>
      <c r="S6" s="51">
        <v>2.5</v>
      </c>
      <c r="U6" s="1">
        <f t="shared" si="2"/>
        <v>1310</v>
      </c>
      <c r="V6" s="31">
        <f t="shared" si="3"/>
        <v>2.7595419847328246</v>
      </c>
      <c r="W6" s="31">
        <f t="shared" si="4"/>
        <v>1007.232824427481</v>
      </c>
      <c r="X6" s="31">
        <f t="shared" si="5"/>
        <v>1.2590410305343511</v>
      </c>
      <c r="AA6" s="32">
        <f t="shared" si="6"/>
        <v>42552</v>
      </c>
      <c r="AB6" s="32">
        <f t="shared" si="7"/>
        <v>42735</v>
      </c>
      <c r="AC6" s="50">
        <v>19</v>
      </c>
      <c r="AD6" s="1">
        <f t="shared" si="8"/>
        <v>0</v>
      </c>
      <c r="AE6" s="1">
        <f t="shared" si="9"/>
        <v>0</v>
      </c>
      <c r="AF6" s="1">
        <f t="shared" si="10"/>
        <v>0</v>
      </c>
      <c r="AG6" s="1">
        <f t="shared" si="11"/>
        <v>0</v>
      </c>
      <c r="AH6" s="1">
        <f t="shared" si="12"/>
        <v>92</v>
      </c>
      <c r="AI6" s="23">
        <f t="shared" si="13"/>
        <v>0.5</v>
      </c>
      <c r="AJ6" s="23">
        <f t="shared" si="14"/>
        <v>0.62952051526717556</v>
      </c>
      <c r="AK6" s="23">
        <f t="shared" si="15"/>
        <v>5.9804448950381675</v>
      </c>
      <c r="AL6" s="23">
        <f t="shared" si="16"/>
        <v>14.951112237595419</v>
      </c>
      <c r="AM6" s="23">
        <f t="shared" si="17"/>
        <v>0</v>
      </c>
      <c r="AN6" s="23">
        <f t="shared" si="18"/>
        <v>14.951112237595419</v>
      </c>
      <c r="AQ6" s="32">
        <f t="shared" si="19"/>
        <v>42736</v>
      </c>
      <c r="AR6" s="32">
        <f t="shared" si="20"/>
        <v>42916</v>
      </c>
      <c r="AS6" s="56">
        <v>0</v>
      </c>
      <c r="AT6" s="1">
        <f t="shared" si="21"/>
        <v>0</v>
      </c>
      <c r="AU6" s="1">
        <f t="shared" si="22"/>
        <v>0</v>
      </c>
      <c r="AV6" s="1">
        <f t="shared" si="23"/>
        <v>0</v>
      </c>
      <c r="AW6" s="1">
        <f t="shared" si="24"/>
        <v>0</v>
      </c>
      <c r="AX6" s="1">
        <f t="shared" si="25"/>
        <v>90.5</v>
      </c>
      <c r="AY6" s="23">
        <f t="shared" si="26"/>
        <v>0.5</v>
      </c>
      <c r="AZ6" s="23">
        <f t="shared" si="27"/>
        <v>0.62952051526717556</v>
      </c>
      <c r="BA6" s="23">
        <f t="shared" si="28"/>
        <v>0</v>
      </c>
      <c r="BB6" s="23">
        <f t="shared" si="29"/>
        <v>0</v>
      </c>
      <c r="BC6" s="23">
        <f t="shared" si="30"/>
        <v>0</v>
      </c>
      <c r="BD6" s="23">
        <f t="shared" si="31"/>
        <v>0</v>
      </c>
    </row>
    <row r="7" spans="1:57">
      <c r="A7" s="1" t="s">
        <v>20</v>
      </c>
      <c r="B7" s="1" t="s">
        <v>53</v>
      </c>
      <c r="C7" s="1" t="s">
        <v>22</v>
      </c>
      <c r="D7" s="1" t="s">
        <v>54</v>
      </c>
      <c r="E7" s="51" t="s">
        <v>107</v>
      </c>
      <c r="F7" s="51" t="s">
        <v>108</v>
      </c>
      <c r="G7" s="51" t="s">
        <v>109</v>
      </c>
      <c r="H7" s="1" t="s">
        <v>175</v>
      </c>
      <c r="I7" s="1" t="s">
        <v>147</v>
      </c>
      <c r="J7" s="51" t="s">
        <v>148</v>
      </c>
      <c r="K7" s="51" t="s">
        <v>112</v>
      </c>
      <c r="L7" s="51" t="s">
        <v>112</v>
      </c>
      <c r="M7" s="1">
        <v>386978</v>
      </c>
      <c r="N7" s="56" t="s">
        <v>977</v>
      </c>
      <c r="O7" s="55">
        <f t="shared" si="0"/>
        <v>40330</v>
      </c>
      <c r="P7" s="55">
        <f t="shared" si="1"/>
        <v>41639</v>
      </c>
      <c r="Q7" s="51">
        <v>3765</v>
      </c>
      <c r="S7" s="51">
        <v>2.5</v>
      </c>
      <c r="U7" s="1">
        <f t="shared" si="2"/>
        <v>1310</v>
      </c>
      <c r="V7" s="31">
        <f t="shared" si="3"/>
        <v>2.8740458015267176</v>
      </c>
      <c r="W7" s="31">
        <f t="shared" si="4"/>
        <v>1049.0267175572519</v>
      </c>
      <c r="X7" s="31">
        <f t="shared" si="5"/>
        <v>1.3112833969465649</v>
      </c>
      <c r="AA7" s="32">
        <f t="shared" si="6"/>
        <v>42552</v>
      </c>
      <c r="AB7" s="32">
        <f t="shared" si="7"/>
        <v>42735</v>
      </c>
      <c r="AC7" s="50">
        <v>23</v>
      </c>
      <c r="AD7" s="1">
        <f t="shared" si="8"/>
        <v>0</v>
      </c>
      <c r="AE7" s="1">
        <f t="shared" si="9"/>
        <v>0</v>
      </c>
      <c r="AF7" s="1">
        <f t="shared" si="10"/>
        <v>0</v>
      </c>
      <c r="AG7" s="1">
        <f t="shared" si="11"/>
        <v>0</v>
      </c>
      <c r="AH7" s="1">
        <f t="shared" si="12"/>
        <v>92</v>
      </c>
      <c r="AI7" s="23">
        <f t="shared" si="13"/>
        <v>0.5</v>
      </c>
      <c r="AJ7" s="23">
        <f t="shared" si="14"/>
        <v>0.65564169847328246</v>
      </c>
      <c r="AK7" s="23">
        <f t="shared" si="15"/>
        <v>7.5398795324427486</v>
      </c>
      <c r="AL7" s="23">
        <f t="shared" si="16"/>
        <v>18.849698831106871</v>
      </c>
      <c r="AM7" s="23">
        <f t="shared" si="17"/>
        <v>9.4248494155534353</v>
      </c>
      <c r="AN7" s="23">
        <f t="shared" si="18"/>
        <v>28.274548246660306</v>
      </c>
      <c r="AQ7" s="32">
        <f t="shared" si="19"/>
        <v>42736</v>
      </c>
      <c r="AR7" s="32">
        <f t="shared" si="20"/>
        <v>42916</v>
      </c>
      <c r="AS7" s="56">
        <v>0</v>
      </c>
      <c r="AT7" s="1">
        <f t="shared" si="21"/>
        <v>0</v>
      </c>
      <c r="AU7" s="1">
        <f t="shared" si="22"/>
        <v>0</v>
      </c>
      <c r="AV7" s="1">
        <f t="shared" si="23"/>
        <v>0</v>
      </c>
      <c r="AW7" s="1">
        <f t="shared" si="24"/>
        <v>0</v>
      </c>
      <c r="AX7" s="1">
        <f t="shared" si="25"/>
        <v>90.5</v>
      </c>
      <c r="AY7" s="23">
        <f t="shared" si="26"/>
        <v>0.5</v>
      </c>
      <c r="AZ7" s="23">
        <f t="shared" si="27"/>
        <v>0.65564169847328246</v>
      </c>
      <c r="BA7" s="23">
        <f t="shared" si="28"/>
        <v>0</v>
      </c>
      <c r="BB7" s="23">
        <f t="shared" si="29"/>
        <v>0</v>
      </c>
      <c r="BC7" s="23">
        <f t="shared" si="30"/>
        <v>0</v>
      </c>
      <c r="BD7" s="23">
        <f t="shared" si="31"/>
        <v>0</v>
      </c>
    </row>
    <row r="8" spans="1:57">
      <c r="A8" s="1" t="s">
        <v>20</v>
      </c>
      <c r="B8" s="1" t="s">
        <v>53</v>
      </c>
      <c r="C8" s="1" t="s">
        <v>22</v>
      </c>
      <c r="D8" s="1" t="s">
        <v>54</v>
      </c>
      <c r="E8" s="51" t="s">
        <v>107</v>
      </c>
      <c r="F8" s="51" t="s">
        <v>108</v>
      </c>
      <c r="G8" s="51" t="s">
        <v>109</v>
      </c>
      <c r="H8" s="1" t="s">
        <v>110</v>
      </c>
      <c r="I8" s="1" t="s">
        <v>111</v>
      </c>
      <c r="J8" s="51" t="s">
        <v>112</v>
      </c>
      <c r="K8" s="51" t="s">
        <v>112</v>
      </c>
      <c r="L8" s="51" t="s">
        <v>112</v>
      </c>
      <c r="M8" s="1">
        <v>386982</v>
      </c>
      <c r="N8" s="56" t="s">
        <v>978</v>
      </c>
      <c r="O8" s="55">
        <f t="shared" si="0"/>
        <v>40330</v>
      </c>
      <c r="P8" s="55">
        <f t="shared" si="1"/>
        <v>41639</v>
      </c>
      <c r="Q8" s="51">
        <v>3605</v>
      </c>
      <c r="S8" s="51">
        <v>2</v>
      </c>
      <c r="U8" s="1">
        <f t="shared" si="2"/>
        <v>1310</v>
      </c>
      <c r="V8" s="31">
        <f t="shared" si="3"/>
        <v>2.7519083969465647</v>
      </c>
      <c r="W8" s="31">
        <f t="shared" si="4"/>
        <v>1004.4465648854962</v>
      </c>
      <c r="X8" s="31">
        <f t="shared" si="5"/>
        <v>1.2555582061068702</v>
      </c>
      <c r="AA8" s="32">
        <f t="shared" si="6"/>
        <v>42552</v>
      </c>
      <c r="AB8" s="32">
        <f t="shared" si="7"/>
        <v>42735</v>
      </c>
      <c r="AC8" s="50">
        <v>29</v>
      </c>
      <c r="AD8" s="1">
        <f t="shared" si="8"/>
        <v>0</v>
      </c>
      <c r="AE8" s="1">
        <f t="shared" si="9"/>
        <v>0</v>
      </c>
      <c r="AF8" s="1">
        <f t="shared" si="10"/>
        <v>0</v>
      </c>
      <c r="AG8" s="1">
        <f t="shared" si="11"/>
        <v>0</v>
      </c>
      <c r="AH8" s="1">
        <f t="shared" si="12"/>
        <v>92</v>
      </c>
      <c r="AI8" s="23">
        <f t="shared" si="13"/>
        <v>0.5</v>
      </c>
      <c r="AJ8" s="23">
        <f t="shared" si="14"/>
        <v>0.62777910305343509</v>
      </c>
      <c r="AK8" s="23">
        <f t="shared" si="15"/>
        <v>9.1027969942748097</v>
      </c>
      <c r="AL8" s="23">
        <f t="shared" si="16"/>
        <v>18.205593988549619</v>
      </c>
      <c r="AM8" s="23">
        <f t="shared" si="17"/>
        <v>0</v>
      </c>
      <c r="AN8" s="23">
        <f t="shared" si="18"/>
        <v>18.205593988549619</v>
      </c>
      <c r="AQ8" s="32">
        <f t="shared" si="19"/>
        <v>42736</v>
      </c>
      <c r="AR8" s="32">
        <f t="shared" si="20"/>
        <v>42916</v>
      </c>
      <c r="AS8" s="56">
        <v>0</v>
      </c>
      <c r="AT8" s="1">
        <f t="shared" si="21"/>
        <v>0</v>
      </c>
      <c r="AU8" s="1">
        <f t="shared" si="22"/>
        <v>0</v>
      </c>
      <c r="AV8" s="1">
        <f t="shared" si="23"/>
        <v>0</v>
      </c>
      <c r="AW8" s="1">
        <f t="shared" si="24"/>
        <v>0</v>
      </c>
      <c r="AX8" s="1">
        <f t="shared" si="25"/>
        <v>90.5</v>
      </c>
      <c r="AY8" s="23">
        <f t="shared" si="26"/>
        <v>0.5</v>
      </c>
      <c r="AZ8" s="23">
        <f t="shared" si="27"/>
        <v>0.62777910305343509</v>
      </c>
      <c r="BA8" s="23">
        <f t="shared" si="28"/>
        <v>0</v>
      </c>
      <c r="BB8" s="23">
        <f t="shared" si="29"/>
        <v>0</v>
      </c>
      <c r="BC8" s="23">
        <f t="shared" si="30"/>
        <v>0</v>
      </c>
      <c r="BD8" s="23">
        <f t="shared" si="31"/>
        <v>0</v>
      </c>
    </row>
    <row r="9" spans="1:57">
      <c r="A9" s="1" t="s">
        <v>20</v>
      </c>
      <c r="B9" s="1" t="s">
        <v>53</v>
      </c>
      <c r="C9" s="1" t="s">
        <v>22</v>
      </c>
      <c r="D9" s="1" t="s">
        <v>54</v>
      </c>
      <c r="E9" s="51" t="s">
        <v>107</v>
      </c>
      <c r="F9" s="51" t="s">
        <v>108</v>
      </c>
      <c r="G9" s="51" t="s">
        <v>109</v>
      </c>
      <c r="H9" s="1" t="s">
        <v>281</v>
      </c>
      <c r="I9" s="1" t="s">
        <v>147</v>
      </c>
      <c r="J9" s="51" t="s">
        <v>112</v>
      </c>
      <c r="K9" s="51" t="s">
        <v>112</v>
      </c>
      <c r="L9" s="51" t="s">
        <v>112</v>
      </c>
      <c r="M9" s="1">
        <v>386987</v>
      </c>
      <c r="N9" s="56" t="s">
        <v>979</v>
      </c>
      <c r="O9" s="55">
        <f t="shared" si="0"/>
        <v>40330</v>
      </c>
      <c r="P9" s="55">
        <f t="shared" si="1"/>
        <v>41639</v>
      </c>
      <c r="Q9" s="51">
        <v>3800</v>
      </c>
      <c r="S9" s="51">
        <v>2</v>
      </c>
      <c r="U9" s="1">
        <f t="shared" si="2"/>
        <v>1310</v>
      </c>
      <c r="V9" s="31">
        <f t="shared" si="3"/>
        <v>2.9007633587786259</v>
      </c>
      <c r="W9" s="31">
        <f t="shared" si="4"/>
        <v>1058.7786259541986</v>
      </c>
      <c r="X9" s="31">
        <f t="shared" si="5"/>
        <v>1.3234732824427482</v>
      </c>
      <c r="AA9" s="32">
        <f t="shared" si="6"/>
        <v>42552</v>
      </c>
      <c r="AB9" s="32">
        <f t="shared" si="7"/>
        <v>42735</v>
      </c>
      <c r="AC9" s="50">
        <v>26</v>
      </c>
      <c r="AD9" s="1">
        <f t="shared" si="8"/>
        <v>0</v>
      </c>
      <c r="AE9" s="1">
        <f t="shared" si="9"/>
        <v>0</v>
      </c>
      <c r="AF9" s="1">
        <f t="shared" si="10"/>
        <v>0</v>
      </c>
      <c r="AG9" s="1">
        <f t="shared" si="11"/>
        <v>0</v>
      </c>
      <c r="AH9" s="1">
        <f t="shared" si="12"/>
        <v>92</v>
      </c>
      <c r="AI9" s="23">
        <f t="shared" si="13"/>
        <v>0.5</v>
      </c>
      <c r="AJ9" s="23">
        <f t="shared" si="14"/>
        <v>0.6617366412213741</v>
      </c>
      <c r="AK9" s="23">
        <f t="shared" si="15"/>
        <v>8.6025763358778633</v>
      </c>
      <c r="AL9" s="23">
        <f t="shared" si="16"/>
        <v>17.205152671755727</v>
      </c>
      <c r="AM9" s="23">
        <f t="shared" si="17"/>
        <v>0</v>
      </c>
      <c r="AN9" s="23">
        <f t="shared" si="18"/>
        <v>17.205152671755727</v>
      </c>
      <c r="AQ9" s="32">
        <f t="shared" si="19"/>
        <v>42736</v>
      </c>
      <c r="AR9" s="32">
        <f t="shared" si="20"/>
        <v>42916</v>
      </c>
      <c r="AS9" s="56">
        <v>0</v>
      </c>
      <c r="AT9" s="1">
        <f t="shared" si="21"/>
        <v>0</v>
      </c>
      <c r="AU9" s="1">
        <f t="shared" si="22"/>
        <v>0</v>
      </c>
      <c r="AV9" s="1">
        <f t="shared" si="23"/>
        <v>0</v>
      </c>
      <c r="AW9" s="1">
        <f t="shared" si="24"/>
        <v>0</v>
      </c>
      <c r="AX9" s="1">
        <f t="shared" si="25"/>
        <v>90.5</v>
      </c>
      <c r="AY9" s="23">
        <f t="shared" si="26"/>
        <v>0.5</v>
      </c>
      <c r="AZ9" s="23">
        <f t="shared" si="27"/>
        <v>0.6617366412213741</v>
      </c>
      <c r="BA9" s="23">
        <f t="shared" si="28"/>
        <v>0</v>
      </c>
      <c r="BB9" s="23">
        <f t="shared" si="29"/>
        <v>0</v>
      </c>
      <c r="BC9" s="23">
        <f t="shared" si="30"/>
        <v>0</v>
      </c>
      <c r="BD9" s="23">
        <f t="shared" si="31"/>
        <v>0</v>
      </c>
    </row>
    <row r="10" spans="1:57">
      <c r="A10" s="1" t="s">
        <v>20</v>
      </c>
      <c r="B10" s="1" t="s">
        <v>53</v>
      </c>
      <c r="C10" s="1" t="s">
        <v>22</v>
      </c>
      <c r="D10" s="1" t="s">
        <v>54</v>
      </c>
      <c r="E10" s="51" t="s">
        <v>107</v>
      </c>
      <c r="F10" s="51" t="s">
        <v>108</v>
      </c>
      <c r="G10" s="51" t="s">
        <v>109</v>
      </c>
      <c r="H10" s="1" t="s">
        <v>179</v>
      </c>
      <c r="I10" s="1" t="s">
        <v>125</v>
      </c>
      <c r="J10" s="51" t="s">
        <v>112</v>
      </c>
      <c r="K10" s="51" t="s">
        <v>112</v>
      </c>
      <c r="L10" s="51" t="s">
        <v>112</v>
      </c>
      <c r="M10" s="1">
        <v>386989</v>
      </c>
      <c r="N10" s="56" t="s">
        <v>980</v>
      </c>
      <c r="O10" s="55">
        <f t="shared" si="0"/>
        <v>40330</v>
      </c>
      <c r="P10" s="55">
        <f t="shared" si="1"/>
        <v>41639</v>
      </c>
      <c r="Q10" s="51">
        <v>3800</v>
      </c>
      <c r="S10" s="51">
        <v>2</v>
      </c>
      <c r="U10" s="1">
        <f t="shared" si="2"/>
        <v>1310</v>
      </c>
      <c r="V10" s="31">
        <f t="shared" si="3"/>
        <v>2.9007633587786259</v>
      </c>
      <c r="W10" s="31">
        <f t="shared" si="4"/>
        <v>1058.7786259541986</v>
      </c>
      <c r="X10" s="31">
        <f t="shared" si="5"/>
        <v>1.3234732824427482</v>
      </c>
      <c r="AA10" s="32">
        <f t="shared" si="6"/>
        <v>42552</v>
      </c>
      <c r="AB10" s="32">
        <f t="shared" si="7"/>
        <v>42735</v>
      </c>
      <c r="AC10" s="50">
        <v>22</v>
      </c>
      <c r="AD10" s="1">
        <f t="shared" si="8"/>
        <v>0</v>
      </c>
      <c r="AE10" s="1">
        <f t="shared" si="9"/>
        <v>0</v>
      </c>
      <c r="AF10" s="1">
        <f t="shared" si="10"/>
        <v>0</v>
      </c>
      <c r="AG10" s="1">
        <f t="shared" si="11"/>
        <v>0</v>
      </c>
      <c r="AH10" s="1">
        <f t="shared" si="12"/>
        <v>92</v>
      </c>
      <c r="AI10" s="23">
        <f t="shared" si="13"/>
        <v>0.5</v>
      </c>
      <c r="AJ10" s="23">
        <f t="shared" si="14"/>
        <v>0.6617366412213741</v>
      </c>
      <c r="AK10" s="23">
        <f t="shared" si="15"/>
        <v>7.2791030534351151</v>
      </c>
      <c r="AL10" s="23">
        <f t="shared" si="16"/>
        <v>14.55820610687023</v>
      </c>
      <c r="AM10" s="23">
        <f t="shared" si="17"/>
        <v>0</v>
      </c>
      <c r="AN10" s="23">
        <f t="shared" si="18"/>
        <v>14.55820610687023</v>
      </c>
      <c r="AQ10" s="32">
        <f t="shared" si="19"/>
        <v>42736</v>
      </c>
      <c r="AR10" s="32">
        <f t="shared" si="20"/>
        <v>42916</v>
      </c>
      <c r="AS10" s="56">
        <v>0</v>
      </c>
      <c r="AT10" s="1">
        <f t="shared" si="21"/>
        <v>0</v>
      </c>
      <c r="AU10" s="1">
        <f t="shared" si="22"/>
        <v>0</v>
      </c>
      <c r="AV10" s="1">
        <f t="shared" si="23"/>
        <v>0</v>
      </c>
      <c r="AW10" s="1">
        <f t="shared" si="24"/>
        <v>0</v>
      </c>
      <c r="AX10" s="1">
        <f t="shared" si="25"/>
        <v>90.5</v>
      </c>
      <c r="AY10" s="23">
        <f t="shared" si="26"/>
        <v>0.5</v>
      </c>
      <c r="AZ10" s="23">
        <f t="shared" si="27"/>
        <v>0.6617366412213741</v>
      </c>
      <c r="BA10" s="23">
        <f t="shared" si="28"/>
        <v>0</v>
      </c>
      <c r="BB10" s="23">
        <f t="shared" si="29"/>
        <v>0</v>
      </c>
      <c r="BC10" s="23">
        <f t="shared" si="30"/>
        <v>0</v>
      </c>
      <c r="BD10" s="23">
        <f t="shared" si="31"/>
        <v>0</v>
      </c>
    </row>
    <row r="11" spans="1:57">
      <c r="A11" s="1" t="s">
        <v>20</v>
      </c>
      <c r="B11" s="1" t="s">
        <v>53</v>
      </c>
      <c r="C11" s="1" t="s">
        <v>22</v>
      </c>
      <c r="D11" s="1" t="s">
        <v>54</v>
      </c>
      <c r="E11" s="51" t="s">
        <v>107</v>
      </c>
      <c r="F11" s="51" t="s">
        <v>114</v>
      </c>
      <c r="G11" s="51" t="s">
        <v>109</v>
      </c>
      <c r="H11" s="1" t="s">
        <v>115</v>
      </c>
      <c r="I11" s="1" t="s">
        <v>116</v>
      </c>
      <c r="J11" s="51" t="s">
        <v>112</v>
      </c>
      <c r="K11" s="51" t="s">
        <v>112</v>
      </c>
      <c r="L11" s="51" t="s">
        <v>112</v>
      </c>
      <c r="M11" s="1">
        <v>446054</v>
      </c>
      <c r="N11" s="50" t="s">
        <v>981</v>
      </c>
      <c r="O11" s="55">
        <f>DATE(2010,8,5)</f>
        <v>40395</v>
      </c>
      <c r="P11" s="55">
        <f>DATE(2014,8,29)</f>
        <v>41880</v>
      </c>
      <c r="Q11" s="51">
        <v>3960</v>
      </c>
      <c r="S11" s="51">
        <v>2.5</v>
      </c>
      <c r="U11" s="1">
        <f t="shared" si="2"/>
        <v>1486</v>
      </c>
      <c r="V11" s="31">
        <f t="shared" si="3"/>
        <v>2.6648721399730819</v>
      </c>
      <c r="W11" s="31">
        <f t="shared" si="4"/>
        <v>972.67833109017488</v>
      </c>
      <c r="X11" s="31">
        <f t="shared" si="5"/>
        <v>1.2158479138627185</v>
      </c>
      <c r="AA11" s="32">
        <f t="shared" si="6"/>
        <v>42552</v>
      </c>
      <c r="AB11" s="32">
        <f t="shared" si="7"/>
        <v>42735</v>
      </c>
      <c r="AC11" s="50">
        <v>4</v>
      </c>
      <c r="AD11" s="1">
        <f t="shared" si="8"/>
        <v>0</v>
      </c>
      <c r="AE11" s="1">
        <f t="shared" si="9"/>
        <v>0</v>
      </c>
      <c r="AF11" s="1">
        <f t="shared" si="10"/>
        <v>0</v>
      </c>
      <c r="AG11" s="1">
        <f t="shared" si="11"/>
        <v>0</v>
      </c>
      <c r="AH11" s="1">
        <f t="shared" si="12"/>
        <v>92</v>
      </c>
      <c r="AI11" s="23">
        <f t="shared" si="13"/>
        <v>0.5</v>
      </c>
      <c r="AJ11" s="23">
        <f t="shared" si="14"/>
        <v>0.60792395693135926</v>
      </c>
      <c r="AK11" s="23">
        <f t="shared" si="15"/>
        <v>1.2158479138627185</v>
      </c>
      <c r="AL11" s="23">
        <f t="shared" si="16"/>
        <v>3.0396197846567965</v>
      </c>
      <c r="AM11" s="23">
        <f t="shared" si="17"/>
        <v>0</v>
      </c>
      <c r="AN11" s="23">
        <f t="shared" si="18"/>
        <v>3.0396197846567965</v>
      </c>
      <c r="AQ11" s="32">
        <f t="shared" si="19"/>
        <v>42736</v>
      </c>
      <c r="AR11" s="32">
        <f t="shared" si="20"/>
        <v>42916</v>
      </c>
      <c r="AS11" s="50">
        <v>4</v>
      </c>
      <c r="AT11" s="1">
        <f t="shared" si="21"/>
        <v>0</v>
      </c>
      <c r="AU11" s="1">
        <f t="shared" si="22"/>
        <v>0</v>
      </c>
      <c r="AV11" s="1">
        <f t="shared" si="23"/>
        <v>0</v>
      </c>
      <c r="AW11" s="1">
        <f t="shared" si="24"/>
        <v>0</v>
      </c>
      <c r="AX11" s="1">
        <f t="shared" si="25"/>
        <v>90.5</v>
      </c>
      <c r="AY11" s="23">
        <f t="shared" si="26"/>
        <v>0.5</v>
      </c>
      <c r="AZ11" s="23">
        <f t="shared" si="27"/>
        <v>0.60792395693135926</v>
      </c>
      <c r="BA11" s="23">
        <f t="shared" si="28"/>
        <v>1.2158479138627185</v>
      </c>
      <c r="BB11" s="23">
        <f t="shared" si="29"/>
        <v>3.0396197846567965</v>
      </c>
      <c r="BC11" s="23">
        <f t="shared" si="30"/>
        <v>0</v>
      </c>
      <c r="BD11" s="23">
        <f t="shared" si="31"/>
        <v>3.0396197846567965</v>
      </c>
    </row>
    <row r="12" spans="1:57">
      <c r="A12" s="48" t="s">
        <v>20</v>
      </c>
      <c r="B12" s="1" t="s">
        <v>53</v>
      </c>
      <c r="C12" s="1" t="s">
        <v>22</v>
      </c>
      <c r="D12" s="1" t="s">
        <v>54</v>
      </c>
      <c r="E12" s="51" t="s">
        <v>107</v>
      </c>
      <c r="F12" s="51" t="s">
        <v>108</v>
      </c>
      <c r="G12" s="51" t="s">
        <v>109</v>
      </c>
      <c r="H12" s="1" t="s">
        <v>642</v>
      </c>
      <c r="I12" s="1" t="s">
        <v>147</v>
      </c>
      <c r="J12" s="51" t="s">
        <v>148</v>
      </c>
      <c r="K12" s="51" t="s">
        <v>112</v>
      </c>
      <c r="L12" s="51" t="s">
        <v>112</v>
      </c>
      <c r="M12" s="1">
        <v>1252920</v>
      </c>
      <c r="N12" s="50" t="s">
        <v>982</v>
      </c>
      <c r="O12" s="55">
        <f t="shared" ref="O12:O20" si="32">DATE(2012,3,5)</f>
        <v>40973</v>
      </c>
      <c r="P12" s="55">
        <f>DATE(2014,3,4)</f>
        <v>41702</v>
      </c>
      <c r="Q12" s="51">
        <v>1415</v>
      </c>
      <c r="S12" s="51">
        <v>2.5</v>
      </c>
      <c r="U12" s="1">
        <f t="shared" si="2"/>
        <v>730</v>
      </c>
      <c r="V12" s="31">
        <f t="shared" si="3"/>
        <v>1.9383561643835616</v>
      </c>
      <c r="W12" s="31">
        <f t="shared" si="4"/>
        <v>707.5</v>
      </c>
      <c r="X12" s="31">
        <f t="shared" si="5"/>
        <v>0.88437500000000002</v>
      </c>
      <c r="AA12" s="32">
        <f t="shared" si="6"/>
        <v>42552</v>
      </c>
      <c r="AB12" s="32">
        <f t="shared" si="7"/>
        <v>42735</v>
      </c>
      <c r="AC12" s="50">
        <v>26</v>
      </c>
      <c r="AD12" s="1">
        <f t="shared" si="8"/>
        <v>0</v>
      </c>
      <c r="AE12" s="1">
        <f t="shared" si="9"/>
        <v>0</v>
      </c>
      <c r="AF12" s="1">
        <f t="shared" si="10"/>
        <v>0</v>
      </c>
      <c r="AG12" s="1">
        <f t="shared" si="11"/>
        <v>0</v>
      </c>
      <c r="AH12" s="1">
        <f t="shared" si="12"/>
        <v>92</v>
      </c>
      <c r="AI12" s="23">
        <f t="shared" si="13"/>
        <v>0.5</v>
      </c>
      <c r="AJ12" s="23">
        <f t="shared" si="14"/>
        <v>0.44218750000000001</v>
      </c>
      <c r="AK12" s="23">
        <f t="shared" si="15"/>
        <v>5.7484375000000005</v>
      </c>
      <c r="AL12" s="23">
        <f t="shared" si="16"/>
        <v>14.371093750000002</v>
      </c>
      <c r="AM12" s="23">
        <f t="shared" si="17"/>
        <v>7.1855468750000009</v>
      </c>
      <c r="AN12" s="23">
        <f t="shared" si="18"/>
        <v>21.556640625000004</v>
      </c>
      <c r="AQ12" s="32">
        <f t="shared" si="19"/>
        <v>42736</v>
      </c>
      <c r="AR12" s="32">
        <f t="shared" si="20"/>
        <v>42916</v>
      </c>
      <c r="AS12" s="50">
        <v>2</v>
      </c>
      <c r="AT12" s="1">
        <f t="shared" si="21"/>
        <v>0</v>
      </c>
      <c r="AU12" s="1">
        <f t="shared" si="22"/>
        <v>0</v>
      </c>
      <c r="AV12" s="1">
        <f t="shared" si="23"/>
        <v>0</v>
      </c>
      <c r="AW12" s="1">
        <f t="shared" si="24"/>
        <v>0</v>
      </c>
      <c r="AX12" s="1">
        <f t="shared" si="25"/>
        <v>90.5</v>
      </c>
      <c r="AY12" s="23">
        <f t="shared" si="26"/>
        <v>0.5</v>
      </c>
      <c r="AZ12" s="23">
        <f t="shared" si="27"/>
        <v>0.44218750000000001</v>
      </c>
      <c r="BA12" s="23">
        <f t="shared" si="28"/>
        <v>0.44218750000000001</v>
      </c>
      <c r="BB12" s="23">
        <f t="shared" si="29"/>
        <v>1.10546875</v>
      </c>
      <c r="BC12" s="23">
        <f t="shared" si="30"/>
        <v>0.552734375</v>
      </c>
      <c r="BD12" s="23">
        <f t="shared" si="31"/>
        <v>1.658203125</v>
      </c>
    </row>
    <row r="13" spans="1:57">
      <c r="A13" s="1" t="s">
        <v>20</v>
      </c>
      <c r="B13" s="1" t="s">
        <v>53</v>
      </c>
      <c r="C13" s="1" t="s">
        <v>22</v>
      </c>
      <c r="D13" s="1" t="s">
        <v>54</v>
      </c>
      <c r="E13" s="51" t="s">
        <v>107</v>
      </c>
      <c r="F13" s="51" t="s">
        <v>108</v>
      </c>
      <c r="G13" s="51" t="s">
        <v>109</v>
      </c>
      <c r="H13" s="1" t="s">
        <v>124</v>
      </c>
      <c r="I13" s="1" t="s">
        <v>125</v>
      </c>
      <c r="J13" s="51" t="s">
        <v>112</v>
      </c>
      <c r="K13" s="51" t="s">
        <v>112</v>
      </c>
      <c r="L13" s="51" t="s">
        <v>112</v>
      </c>
      <c r="M13" s="1">
        <v>1252940</v>
      </c>
      <c r="N13" s="56" t="s">
        <v>983</v>
      </c>
      <c r="O13" s="55">
        <f t="shared" si="32"/>
        <v>40973</v>
      </c>
      <c r="P13" s="55">
        <f>DATE(2014,3,4)</f>
        <v>41702</v>
      </c>
      <c r="Q13" s="51">
        <v>1415</v>
      </c>
      <c r="S13" s="51">
        <v>2.5</v>
      </c>
      <c r="U13" s="1">
        <f t="shared" si="2"/>
        <v>730</v>
      </c>
      <c r="V13" s="31">
        <f t="shared" si="3"/>
        <v>1.9383561643835616</v>
      </c>
      <c r="W13" s="31">
        <f t="shared" si="4"/>
        <v>707.5</v>
      </c>
      <c r="X13" s="31">
        <f t="shared" si="5"/>
        <v>0.88437500000000002</v>
      </c>
      <c r="AA13" s="32">
        <f t="shared" si="6"/>
        <v>42552</v>
      </c>
      <c r="AB13" s="32">
        <f t="shared" si="7"/>
        <v>42735</v>
      </c>
      <c r="AC13" s="50">
        <v>24</v>
      </c>
      <c r="AD13" s="1">
        <f t="shared" si="8"/>
        <v>0</v>
      </c>
      <c r="AE13" s="1">
        <f t="shared" si="9"/>
        <v>0</v>
      </c>
      <c r="AF13" s="1">
        <f t="shared" si="10"/>
        <v>0</v>
      </c>
      <c r="AG13" s="1">
        <f t="shared" si="11"/>
        <v>0</v>
      </c>
      <c r="AH13" s="1">
        <f t="shared" si="12"/>
        <v>92</v>
      </c>
      <c r="AI13" s="23">
        <f t="shared" si="13"/>
        <v>0.5</v>
      </c>
      <c r="AJ13" s="23">
        <f t="shared" si="14"/>
        <v>0.44218750000000001</v>
      </c>
      <c r="AK13" s="23">
        <f t="shared" si="15"/>
        <v>5.3062500000000004</v>
      </c>
      <c r="AL13" s="23">
        <f t="shared" si="16"/>
        <v>13.265625</v>
      </c>
      <c r="AM13" s="23">
        <f t="shared" si="17"/>
        <v>0</v>
      </c>
      <c r="AN13" s="23">
        <f t="shared" si="18"/>
        <v>13.265625</v>
      </c>
      <c r="AQ13" s="32">
        <f t="shared" si="19"/>
        <v>42736</v>
      </c>
      <c r="AR13" s="32">
        <f t="shared" si="20"/>
        <v>42916</v>
      </c>
      <c r="AS13" s="56">
        <v>0</v>
      </c>
      <c r="AT13" s="1">
        <f t="shared" si="21"/>
        <v>0</v>
      </c>
      <c r="AU13" s="1">
        <f t="shared" si="22"/>
        <v>0</v>
      </c>
      <c r="AV13" s="1">
        <f t="shared" si="23"/>
        <v>0</v>
      </c>
      <c r="AW13" s="1">
        <f t="shared" si="24"/>
        <v>0</v>
      </c>
      <c r="AX13" s="1">
        <f t="shared" si="25"/>
        <v>90.5</v>
      </c>
      <c r="AY13" s="23">
        <f t="shared" si="26"/>
        <v>0.5</v>
      </c>
      <c r="AZ13" s="23">
        <f t="shared" si="27"/>
        <v>0.44218750000000001</v>
      </c>
      <c r="BA13" s="23">
        <f t="shared" si="28"/>
        <v>0</v>
      </c>
      <c r="BB13" s="23">
        <f t="shared" si="29"/>
        <v>0</v>
      </c>
      <c r="BC13" s="23">
        <f t="shared" si="30"/>
        <v>0</v>
      </c>
      <c r="BD13" s="23">
        <f t="shared" si="31"/>
        <v>0</v>
      </c>
    </row>
    <row r="14" spans="1:57">
      <c r="A14" s="1" t="s">
        <v>20</v>
      </c>
      <c r="B14" s="1" t="s">
        <v>53</v>
      </c>
      <c r="C14" s="1" t="s">
        <v>22</v>
      </c>
      <c r="D14" s="1" t="s">
        <v>54</v>
      </c>
      <c r="E14" s="51" t="s">
        <v>107</v>
      </c>
      <c r="F14" s="51" t="s">
        <v>108</v>
      </c>
      <c r="G14" s="51" t="s">
        <v>109</v>
      </c>
      <c r="H14" s="1" t="s">
        <v>281</v>
      </c>
      <c r="I14" s="1" t="s">
        <v>147</v>
      </c>
      <c r="J14" s="51" t="s">
        <v>112</v>
      </c>
      <c r="K14" s="51" t="s">
        <v>112</v>
      </c>
      <c r="L14" s="51" t="s">
        <v>112</v>
      </c>
      <c r="M14" s="1">
        <v>1252948</v>
      </c>
      <c r="N14" s="50" t="s">
        <v>984</v>
      </c>
      <c r="O14" s="55">
        <f t="shared" si="32"/>
        <v>40973</v>
      </c>
      <c r="P14" s="55">
        <f>DATE(2014,3,4)</f>
        <v>41702</v>
      </c>
      <c r="Q14" s="51">
        <v>1415</v>
      </c>
      <c r="S14" s="51">
        <v>2</v>
      </c>
      <c r="U14" s="1">
        <f t="shared" si="2"/>
        <v>730</v>
      </c>
      <c r="V14" s="31">
        <f t="shared" si="3"/>
        <v>1.9383561643835616</v>
      </c>
      <c r="W14" s="31">
        <f t="shared" si="4"/>
        <v>707.5</v>
      </c>
      <c r="X14" s="31">
        <f t="shared" si="5"/>
        <v>0.88437500000000002</v>
      </c>
      <c r="AA14" s="32">
        <f t="shared" si="6"/>
        <v>42552</v>
      </c>
      <c r="AB14" s="32">
        <f t="shared" si="7"/>
        <v>42735</v>
      </c>
      <c r="AC14" s="50">
        <v>34</v>
      </c>
      <c r="AD14" s="1">
        <f t="shared" si="8"/>
        <v>0</v>
      </c>
      <c r="AE14" s="1">
        <f t="shared" si="9"/>
        <v>0</v>
      </c>
      <c r="AF14" s="1">
        <f t="shared" si="10"/>
        <v>0</v>
      </c>
      <c r="AG14" s="1">
        <f t="shared" si="11"/>
        <v>0</v>
      </c>
      <c r="AH14" s="1">
        <f t="shared" si="12"/>
        <v>92</v>
      </c>
      <c r="AI14" s="23">
        <f t="shared" si="13"/>
        <v>0.5</v>
      </c>
      <c r="AJ14" s="23">
        <f t="shared" si="14"/>
        <v>0.44218750000000001</v>
      </c>
      <c r="AK14" s="23">
        <f t="shared" si="15"/>
        <v>7.5171875000000004</v>
      </c>
      <c r="AL14" s="23">
        <f t="shared" si="16"/>
        <v>15.034375000000001</v>
      </c>
      <c r="AM14" s="23">
        <f t="shared" si="17"/>
        <v>0</v>
      </c>
      <c r="AN14" s="23">
        <f t="shared" si="18"/>
        <v>15.034375000000001</v>
      </c>
      <c r="AQ14" s="32">
        <f t="shared" si="19"/>
        <v>42736</v>
      </c>
      <c r="AR14" s="32">
        <f t="shared" si="20"/>
        <v>42916</v>
      </c>
      <c r="AS14" s="50">
        <v>6</v>
      </c>
      <c r="AT14" s="1">
        <f t="shared" si="21"/>
        <v>0</v>
      </c>
      <c r="AU14" s="1">
        <f t="shared" si="22"/>
        <v>0</v>
      </c>
      <c r="AV14" s="1">
        <f t="shared" si="23"/>
        <v>0</v>
      </c>
      <c r="AW14" s="1">
        <f t="shared" si="24"/>
        <v>0</v>
      </c>
      <c r="AX14" s="1">
        <f t="shared" si="25"/>
        <v>90.5</v>
      </c>
      <c r="AY14" s="23">
        <f t="shared" si="26"/>
        <v>0.5</v>
      </c>
      <c r="AZ14" s="23">
        <f t="shared" si="27"/>
        <v>0.44218750000000001</v>
      </c>
      <c r="BA14" s="23">
        <f t="shared" si="28"/>
        <v>1.3265625000000001</v>
      </c>
      <c r="BB14" s="23">
        <f t="shared" si="29"/>
        <v>2.6531250000000002</v>
      </c>
      <c r="BC14" s="23">
        <f t="shared" si="30"/>
        <v>0</v>
      </c>
      <c r="BD14" s="23">
        <f t="shared" si="31"/>
        <v>2.6531250000000002</v>
      </c>
    </row>
    <row r="15" spans="1:57">
      <c r="A15" s="1" t="s">
        <v>20</v>
      </c>
      <c r="B15" s="1" t="s">
        <v>53</v>
      </c>
      <c r="C15" s="1" t="s">
        <v>22</v>
      </c>
      <c r="D15" s="1" t="s">
        <v>54</v>
      </c>
      <c r="E15" s="51" t="s">
        <v>107</v>
      </c>
      <c r="F15" s="51" t="s">
        <v>108</v>
      </c>
      <c r="G15" s="51" t="s">
        <v>109</v>
      </c>
      <c r="H15" s="1" t="s">
        <v>146</v>
      </c>
      <c r="I15" s="1" t="s">
        <v>147</v>
      </c>
      <c r="J15" s="51" t="s">
        <v>148</v>
      </c>
      <c r="K15" s="51" t="s">
        <v>112</v>
      </c>
      <c r="L15" s="51" t="s">
        <v>112</v>
      </c>
      <c r="M15" s="1">
        <v>1252960</v>
      </c>
      <c r="N15" s="56" t="s">
        <v>985</v>
      </c>
      <c r="O15" s="55">
        <f t="shared" si="32"/>
        <v>40973</v>
      </c>
      <c r="P15" s="55">
        <f>DATE(2013,9,4)</f>
        <v>41521</v>
      </c>
      <c r="Q15" s="51">
        <v>1265</v>
      </c>
      <c r="S15" s="51">
        <v>2.5</v>
      </c>
      <c r="U15" s="1">
        <f t="shared" si="2"/>
        <v>549</v>
      </c>
      <c r="V15" s="31">
        <f t="shared" si="3"/>
        <v>2.3041894353369763</v>
      </c>
      <c r="W15" s="31">
        <f t="shared" si="4"/>
        <v>841.02914389799639</v>
      </c>
      <c r="X15" s="31">
        <f t="shared" si="5"/>
        <v>1.0512864298724955</v>
      </c>
      <c r="AA15" s="32">
        <f t="shared" si="6"/>
        <v>42552</v>
      </c>
      <c r="AB15" s="32">
        <f t="shared" si="7"/>
        <v>42735</v>
      </c>
      <c r="AC15" s="50">
        <v>22</v>
      </c>
      <c r="AD15" s="1">
        <f t="shared" si="8"/>
        <v>0</v>
      </c>
      <c r="AE15" s="1">
        <f t="shared" si="9"/>
        <v>0</v>
      </c>
      <c r="AF15" s="1">
        <f t="shared" si="10"/>
        <v>0</v>
      </c>
      <c r="AG15" s="1">
        <f t="shared" si="11"/>
        <v>0</v>
      </c>
      <c r="AH15" s="1">
        <f t="shared" si="12"/>
        <v>92</v>
      </c>
      <c r="AI15" s="23">
        <f t="shared" si="13"/>
        <v>0.5</v>
      </c>
      <c r="AJ15" s="23">
        <f t="shared" si="14"/>
        <v>0.52564321493624777</v>
      </c>
      <c r="AK15" s="23">
        <f t="shared" si="15"/>
        <v>5.7820753642987253</v>
      </c>
      <c r="AL15" s="23">
        <f t="shared" si="16"/>
        <v>14.455188410746814</v>
      </c>
      <c r="AM15" s="23">
        <f t="shared" si="17"/>
        <v>7.227594205373407</v>
      </c>
      <c r="AN15" s="23">
        <f t="shared" si="18"/>
        <v>21.682782616120221</v>
      </c>
      <c r="AQ15" s="32">
        <f t="shared" si="19"/>
        <v>42736</v>
      </c>
      <c r="AR15" s="32">
        <f t="shared" si="20"/>
        <v>42916</v>
      </c>
      <c r="AS15" s="56">
        <v>0</v>
      </c>
      <c r="AT15" s="1">
        <f t="shared" si="21"/>
        <v>0</v>
      </c>
      <c r="AU15" s="1">
        <f t="shared" si="22"/>
        <v>0</v>
      </c>
      <c r="AV15" s="1">
        <f t="shared" si="23"/>
        <v>0</v>
      </c>
      <c r="AW15" s="1">
        <f t="shared" si="24"/>
        <v>0</v>
      </c>
      <c r="AX15" s="1">
        <f t="shared" si="25"/>
        <v>90.5</v>
      </c>
      <c r="AY15" s="23">
        <f t="shared" si="26"/>
        <v>0.5</v>
      </c>
      <c r="AZ15" s="23">
        <f t="shared" si="27"/>
        <v>0.52564321493624777</v>
      </c>
      <c r="BA15" s="23">
        <f t="shared" si="28"/>
        <v>0</v>
      </c>
      <c r="BB15" s="23">
        <f t="shared" si="29"/>
        <v>0</v>
      </c>
      <c r="BC15" s="23">
        <f t="shared" si="30"/>
        <v>0</v>
      </c>
      <c r="BD15" s="23">
        <f t="shared" si="31"/>
        <v>0</v>
      </c>
    </row>
    <row r="16" spans="1:57">
      <c r="A16" s="1" t="s">
        <v>20</v>
      </c>
      <c r="B16" s="1" t="s">
        <v>53</v>
      </c>
      <c r="C16" s="1" t="s">
        <v>22</v>
      </c>
      <c r="D16" s="1" t="s">
        <v>54</v>
      </c>
      <c r="E16" s="51" t="s">
        <v>107</v>
      </c>
      <c r="F16" s="51" t="s">
        <v>108</v>
      </c>
      <c r="G16" s="51" t="s">
        <v>109</v>
      </c>
      <c r="H16" s="1" t="s">
        <v>110</v>
      </c>
      <c r="I16" s="1" t="s">
        <v>111</v>
      </c>
      <c r="J16" s="51" t="s">
        <v>112</v>
      </c>
      <c r="K16" s="51" t="s">
        <v>112</v>
      </c>
      <c r="L16" s="51" t="s">
        <v>112</v>
      </c>
      <c r="M16" s="1">
        <v>1252969</v>
      </c>
      <c r="N16" s="56" t="s">
        <v>986</v>
      </c>
      <c r="O16" s="55">
        <f t="shared" si="32"/>
        <v>40973</v>
      </c>
      <c r="P16" s="55">
        <f>DATE(2013,9,4)</f>
        <v>41521</v>
      </c>
      <c r="Q16" s="51">
        <v>1205</v>
      </c>
      <c r="S16" s="51">
        <v>2</v>
      </c>
      <c r="U16" s="1">
        <f t="shared" si="2"/>
        <v>549</v>
      </c>
      <c r="V16" s="31">
        <f t="shared" si="3"/>
        <v>2.1948998178506374</v>
      </c>
      <c r="W16" s="31">
        <f t="shared" si="4"/>
        <v>801.13843351548269</v>
      </c>
      <c r="X16" s="31">
        <f t="shared" si="5"/>
        <v>1.0014230418943533</v>
      </c>
      <c r="AA16" s="32">
        <f t="shared" si="6"/>
        <v>42552</v>
      </c>
      <c r="AB16" s="32">
        <f t="shared" si="7"/>
        <v>42735</v>
      </c>
      <c r="AC16" s="50">
        <v>32</v>
      </c>
      <c r="AD16" s="1">
        <f t="shared" si="8"/>
        <v>0</v>
      </c>
      <c r="AE16" s="1">
        <f t="shared" si="9"/>
        <v>0</v>
      </c>
      <c r="AF16" s="1">
        <f t="shared" si="10"/>
        <v>0</v>
      </c>
      <c r="AG16" s="1">
        <f t="shared" si="11"/>
        <v>0</v>
      </c>
      <c r="AH16" s="1">
        <f t="shared" si="12"/>
        <v>92</v>
      </c>
      <c r="AI16" s="23">
        <f t="shared" si="13"/>
        <v>0.5</v>
      </c>
      <c r="AJ16" s="23">
        <f t="shared" si="14"/>
        <v>0.50071152094717664</v>
      </c>
      <c r="AK16" s="23">
        <f t="shared" si="15"/>
        <v>8.0113843351548262</v>
      </c>
      <c r="AL16" s="23">
        <f t="shared" si="16"/>
        <v>16.022768670309652</v>
      </c>
      <c r="AM16" s="23">
        <f t="shared" si="17"/>
        <v>0</v>
      </c>
      <c r="AN16" s="23">
        <f t="shared" si="18"/>
        <v>16.022768670309652</v>
      </c>
      <c r="AQ16" s="32">
        <f t="shared" si="19"/>
        <v>42736</v>
      </c>
      <c r="AR16" s="32">
        <f t="shared" si="20"/>
        <v>42916</v>
      </c>
      <c r="AS16" s="56">
        <v>0</v>
      </c>
      <c r="AT16" s="1">
        <f t="shared" si="21"/>
        <v>0</v>
      </c>
      <c r="AU16" s="1">
        <f t="shared" si="22"/>
        <v>0</v>
      </c>
      <c r="AV16" s="1">
        <f t="shared" si="23"/>
        <v>0</v>
      </c>
      <c r="AW16" s="1">
        <f t="shared" si="24"/>
        <v>0</v>
      </c>
      <c r="AX16" s="1">
        <f t="shared" si="25"/>
        <v>90.5</v>
      </c>
      <c r="AY16" s="23">
        <f t="shared" si="26"/>
        <v>0.5</v>
      </c>
      <c r="AZ16" s="23">
        <f t="shared" si="27"/>
        <v>0.50071152094717664</v>
      </c>
      <c r="BA16" s="23">
        <f t="shared" si="28"/>
        <v>0</v>
      </c>
      <c r="BB16" s="23">
        <f t="shared" si="29"/>
        <v>0</v>
      </c>
      <c r="BC16" s="23">
        <f t="shared" si="30"/>
        <v>0</v>
      </c>
      <c r="BD16" s="23">
        <f t="shared" si="31"/>
        <v>0</v>
      </c>
    </row>
    <row r="17" spans="1:56">
      <c r="A17" s="1" t="s">
        <v>20</v>
      </c>
      <c r="B17" s="1" t="s">
        <v>53</v>
      </c>
      <c r="C17" s="1" t="s">
        <v>22</v>
      </c>
      <c r="D17" s="1" t="s">
        <v>54</v>
      </c>
      <c r="E17" s="51" t="s">
        <v>107</v>
      </c>
      <c r="F17" s="51" t="s">
        <v>108</v>
      </c>
      <c r="G17" s="51" t="s">
        <v>109</v>
      </c>
      <c r="H17" s="1" t="s">
        <v>124</v>
      </c>
      <c r="I17" s="1" t="s">
        <v>125</v>
      </c>
      <c r="J17" s="51" t="s">
        <v>112</v>
      </c>
      <c r="K17" s="51" t="s">
        <v>112</v>
      </c>
      <c r="L17" s="51" t="s">
        <v>112</v>
      </c>
      <c r="M17" s="1">
        <v>1252973</v>
      </c>
      <c r="N17" s="50" t="s">
        <v>987</v>
      </c>
      <c r="O17" s="55">
        <f t="shared" si="32"/>
        <v>40973</v>
      </c>
      <c r="P17" s="55">
        <f>DATE(2015,9,4)</f>
        <v>42251</v>
      </c>
      <c r="Q17" s="51">
        <v>3815</v>
      </c>
      <c r="S17" s="51">
        <v>2.5</v>
      </c>
      <c r="U17" s="1">
        <f t="shared" si="2"/>
        <v>1279</v>
      </c>
      <c r="V17" s="31">
        <f t="shared" si="3"/>
        <v>2.9827990617670053</v>
      </c>
      <c r="W17" s="31">
        <f t="shared" si="4"/>
        <v>1088.721657544957</v>
      </c>
      <c r="X17" s="31">
        <f t="shared" si="5"/>
        <v>1.3609020719311962</v>
      </c>
      <c r="AA17" s="32">
        <f t="shared" si="6"/>
        <v>42552</v>
      </c>
      <c r="AB17" s="32">
        <f t="shared" si="7"/>
        <v>42735</v>
      </c>
      <c r="AC17" s="50">
        <v>17</v>
      </c>
      <c r="AD17" s="1">
        <f t="shared" si="8"/>
        <v>0</v>
      </c>
      <c r="AE17" s="1">
        <f t="shared" si="9"/>
        <v>0</v>
      </c>
      <c r="AF17" s="1">
        <f t="shared" si="10"/>
        <v>0</v>
      </c>
      <c r="AG17" s="1">
        <f t="shared" si="11"/>
        <v>0</v>
      </c>
      <c r="AH17" s="1">
        <f t="shared" si="12"/>
        <v>92</v>
      </c>
      <c r="AI17" s="23">
        <f t="shared" si="13"/>
        <v>0.5</v>
      </c>
      <c r="AJ17" s="23">
        <f t="shared" si="14"/>
        <v>0.68045103596559808</v>
      </c>
      <c r="AK17" s="23">
        <f t="shared" si="15"/>
        <v>5.7838338057075838</v>
      </c>
      <c r="AL17" s="23">
        <f t="shared" si="16"/>
        <v>14.459584514268959</v>
      </c>
      <c r="AM17" s="23">
        <f t="shared" si="17"/>
        <v>0</v>
      </c>
      <c r="AN17" s="23">
        <f t="shared" si="18"/>
        <v>14.459584514268959</v>
      </c>
      <c r="AQ17" s="32">
        <f t="shared" si="19"/>
        <v>42736</v>
      </c>
      <c r="AR17" s="32">
        <f t="shared" si="20"/>
        <v>42916</v>
      </c>
      <c r="AS17" s="50">
        <v>13</v>
      </c>
      <c r="AT17" s="1">
        <f t="shared" si="21"/>
        <v>0</v>
      </c>
      <c r="AU17" s="1">
        <f t="shared" si="22"/>
        <v>0</v>
      </c>
      <c r="AV17" s="1">
        <f t="shared" si="23"/>
        <v>0</v>
      </c>
      <c r="AW17" s="1">
        <f t="shared" si="24"/>
        <v>0</v>
      </c>
      <c r="AX17" s="1">
        <f t="shared" si="25"/>
        <v>90.5</v>
      </c>
      <c r="AY17" s="23">
        <f t="shared" si="26"/>
        <v>0.5</v>
      </c>
      <c r="AZ17" s="23">
        <f t="shared" si="27"/>
        <v>0.68045103596559808</v>
      </c>
      <c r="BA17" s="23">
        <f t="shared" si="28"/>
        <v>4.4229317337763874</v>
      </c>
      <c r="BB17" s="23">
        <f t="shared" si="29"/>
        <v>11.057329334440968</v>
      </c>
      <c r="BC17" s="23">
        <f t="shared" si="30"/>
        <v>0</v>
      </c>
      <c r="BD17" s="23">
        <f t="shared" si="31"/>
        <v>11.057329334440968</v>
      </c>
    </row>
    <row r="18" spans="1:56">
      <c r="A18" s="1" t="s">
        <v>20</v>
      </c>
      <c r="B18" s="1" t="s">
        <v>53</v>
      </c>
      <c r="C18" s="1" t="s">
        <v>22</v>
      </c>
      <c r="D18" s="1" t="s">
        <v>54</v>
      </c>
      <c r="E18" s="51" t="s">
        <v>107</v>
      </c>
      <c r="F18" s="51" t="s">
        <v>108</v>
      </c>
      <c r="G18" s="51" t="s">
        <v>109</v>
      </c>
      <c r="H18" s="1" t="s">
        <v>642</v>
      </c>
      <c r="I18" s="1" t="s">
        <v>147</v>
      </c>
      <c r="J18" s="51" t="s">
        <v>148</v>
      </c>
      <c r="K18" s="51" t="s">
        <v>112</v>
      </c>
      <c r="L18" s="51" t="s">
        <v>112</v>
      </c>
      <c r="M18" s="1">
        <v>1252991</v>
      </c>
      <c r="N18" s="50" t="s">
        <v>988</v>
      </c>
      <c r="O18" s="55">
        <f t="shared" si="32"/>
        <v>40973</v>
      </c>
      <c r="P18" s="55">
        <f>DATE(2015,9,4)</f>
        <v>42251</v>
      </c>
      <c r="Q18" s="51">
        <v>3815</v>
      </c>
      <c r="S18" s="51">
        <v>2.5</v>
      </c>
      <c r="U18" s="1">
        <f t="shared" si="2"/>
        <v>1279</v>
      </c>
      <c r="V18" s="31">
        <f t="shared" si="3"/>
        <v>2.9827990617670053</v>
      </c>
      <c r="W18" s="31">
        <f t="shared" si="4"/>
        <v>1088.721657544957</v>
      </c>
      <c r="X18" s="31">
        <f t="shared" si="5"/>
        <v>1.3609020719311962</v>
      </c>
      <c r="AA18" s="32">
        <f t="shared" si="6"/>
        <v>42552</v>
      </c>
      <c r="AB18" s="32">
        <f t="shared" si="7"/>
        <v>42735</v>
      </c>
      <c r="AC18" s="50">
        <v>14</v>
      </c>
      <c r="AD18" s="1">
        <f t="shared" si="8"/>
        <v>0</v>
      </c>
      <c r="AE18" s="1">
        <f t="shared" si="9"/>
        <v>0</v>
      </c>
      <c r="AF18" s="1">
        <f t="shared" si="10"/>
        <v>0</v>
      </c>
      <c r="AG18" s="1">
        <f t="shared" si="11"/>
        <v>0</v>
      </c>
      <c r="AH18" s="1">
        <f t="shared" si="12"/>
        <v>92</v>
      </c>
      <c r="AI18" s="23">
        <f t="shared" si="13"/>
        <v>0.5</v>
      </c>
      <c r="AJ18" s="23">
        <f t="shared" si="14"/>
        <v>0.68045103596559808</v>
      </c>
      <c r="AK18" s="23">
        <f t="shared" si="15"/>
        <v>4.7631572517591865</v>
      </c>
      <c r="AL18" s="23">
        <f t="shared" si="16"/>
        <v>11.907893129397966</v>
      </c>
      <c r="AM18" s="23">
        <f t="shared" si="17"/>
        <v>5.9539465646989829</v>
      </c>
      <c r="AN18" s="23">
        <f t="shared" si="18"/>
        <v>17.86183969409695</v>
      </c>
      <c r="AQ18" s="32">
        <f t="shared" si="19"/>
        <v>42736</v>
      </c>
      <c r="AR18" s="32">
        <f t="shared" si="20"/>
        <v>42916</v>
      </c>
      <c r="AS18" s="50">
        <v>11</v>
      </c>
      <c r="AT18" s="1">
        <f t="shared" si="21"/>
        <v>0</v>
      </c>
      <c r="AU18" s="1">
        <f t="shared" si="22"/>
        <v>0</v>
      </c>
      <c r="AV18" s="1">
        <f t="shared" si="23"/>
        <v>0</v>
      </c>
      <c r="AW18" s="1">
        <f t="shared" si="24"/>
        <v>0</v>
      </c>
      <c r="AX18" s="1">
        <f t="shared" si="25"/>
        <v>90.5</v>
      </c>
      <c r="AY18" s="23">
        <f t="shared" si="26"/>
        <v>0.5</v>
      </c>
      <c r="AZ18" s="23">
        <f t="shared" si="27"/>
        <v>0.68045103596559808</v>
      </c>
      <c r="BA18" s="23">
        <f t="shared" si="28"/>
        <v>3.7424806978107896</v>
      </c>
      <c r="BB18" s="23">
        <f t="shared" si="29"/>
        <v>9.3562017445269738</v>
      </c>
      <c r="BC18" s="23">
        <f t="shared" si="30"/>
        <v>4.6781008722634869</v>
      </c>
      <c r="BD18" s="23">
        <f t="shared" si="31"/>
        <v>14.034302616790461</v>
      </c>
    </row>
    <row r="19" spans="1:56">
      <c r="A19" s="1" t="s">
        <v>20</v>
      </c>
      <c r="B19" s="1" t="s">
        <v>53</v>
      </c>
      <c r="C19" s="1" t="s">
        <v>22</v>
      </c>
      <c r="D19" s="1" t="s">
        <v>54</v>
      </c>
      <c r="E19" s="51" t="s">
        <v>107</v>
      </c>
      <c r="F19" s="51" t="s">
        <v>108</v>
      </c>
      <c r="G19" s="51" t="s">
        <v>109</v>
      </c>
      <c r="H19" s="1" t="s">
        <v>110</v>
      </c>
      <c r="I19" s="1" t="s">
        <v>111</v>
      </c>
      <c r="J19" s="51" t="s">
        <v>112</v>
      </c>
      <c r="K19" s="51" t="s">
        <v>112</v>
      </c>
      <c r="L19" s="51" t="s">
        <v>112</v>
      </c>
      <c r="M19" s="1">
        <v>1252994</v>
      </c>
      <c r="N19" s="50" t="s">
        <v>989</v>
      </c>
      <c r="O19" s="55">
        <f t="shared" si="32"/>
        <v>40973</v>
      </c>
      <c r="P19" s="55">
        <f>DATE(2015,9,4)</f>
        <v>42251</v>
      </c>
      <c r="Q19" s="51">
        <v>3650</v>
      </c>
      <c r="S19" s="51">
        <v>2</v>
      </c>
      <c r="U19" s="1">
        <f t="shared" si="2"/>
        <v>1279</v>
      </c>
      <c r="V19" s="31">
        <f t="shared" si="3"/>
        <v>2.8537920250195463</v>
      </c>
      <c r="W19" s="31">
        <f t="shared" si="4"/>
        <v>1041.6340891321345</v>
      </c>
      <c r="X19" s="31">
        <f t="shared" si="5"/>
        <v>1.3020426114151682</v>
      </c>
      <c r="AA19" s="32">
        <f t="shared" si="6"/>
        <v>42552</v>
      </c>
      <c r="AB19" s="32">
        <f t="shared" si="7"/>
        <v>42735</v>
      </c>
      <c r="AC19" s="50">
        <v>9</v>
      </c>
      <c r="AD19" s="1">
        <f t="shared" si="8"/>
        <v>0</v>
      </c>
      <c r="AE19" s="1">
        <f t="shared" si="9"/>
        <v>0</v>
      </c>
      <c r="AF19" s="1">
        <f t="shared" si="10"/>
        <v>0</v>
      </c>
      <c r="AG19" s="1">
        <f t="shared" si="11"/>
        <v>0</v>
      </c>
      <c r="AH19" s="1">
        <f t="shared" si="12"/>
        <v>92</v>
      </c>
      <c r="AI19" s="23">
        <f t="shared" si="13"/>
        <v>0.5</v>
      </c>
      <c r="AJ19" s="23">
        <f t="shared" si="14"/>
        <v>0.6510213057075841</v>
      </c>
      <c r="AK19" s="23">
        <f t="shared" si="15"/>
        <v>2.9295958756841283</v>
      </c>
      <c r="AL19" s="23">
        <f t="shared" si="16"/>
        <v>5.8591917513682565</v>
      </c>
      <c r="AM19" s="23">
        <f t="shared" si="17"/>
        <v>0</v>
      </c>
      <c r="AN19" s="23">
        <f t="shared" si="18"/>
        <v>5.8591917513682565</v>
      </c>
      <c r="AQ19" s="32">
        <f t="shared" si="19"/>
        <v>42736</v>
      </c>
      <c r="AR19" s="32">
        <f t="shared" si="20"/>
        <v>42916</v>
      </c>
      <c r="AS19" s="50">
        <v>8</v>
      </c>
      <c r="AT19" s="1">
        <f t="shared" si="21"/>
        <v>0</v>
      </c>
      <c r="AU19" s="1">
        <f t="shared" si="22"/>
        <v>0</v>
      </c>
      <c r="AV19" s="1">
        <f t="shared" si="23"/>
        <v>0</v>
      </c>
      <c r="AW19" s="1">
        <f t="shared" si="24"/>
        <v>0</v>
      </c>
      <c r="AX19" s="1">
        <f t="shared" si="25"/>
        <v>90.5</v>
      </c>
      <c r="AY19" s="23">
        <f t="shared" si="26"/>
        <v>0.5</v>
      </c>
      <c r="AZ19" s="23">
        <f t="shared" si="27"/>
        <v>0.6510213057075841</v>
      </c>
      <c r="BA19" s="23">
        <f t="shared" si="28"/>
        <v>2.6040852228303364</v>
      </c>
      <c r="BB19" s="23">
        <f t="shared" si="29"/>
        <v>5.2081704456606728</v>
      </c>
      <c r="BC19" s="23">
        <f t="shared" si="30"/>
        <v>0</v>
      </c>
      <c r="BD19" s="23">
        <f t="shared" si="31"/>
        <v>5.2081704456606728</v>
      </c>
    </row>
    <row r="20" spans="1:56">
      <c r="A20" s="1" t="s">
        <v>20</v>
      </c>
      <c r="B20" s="1" t="s">
        <v>53</v>
      </c>
      <c r="C20" s="1" t="s">
        <v>22</v>
      </c>
      <c r="D20" s="1" t="s">
        <v>54</v>
      </c>
      <c r="E20" s="51" t="s">
        <v>107</v>
      </c>
      <c r="F20" s="51" t="s">
        <v>108</v>
      </c>
      <c r="G20" s="51" t="s">
        <v>109</v>
      </c>
      <c r="H20" s="1" t="s">
        <v>618</v>
      </c>
      <c r="I20" s="1" t="s">
        <v>214</v>
      </c>
      <c r="J20" s="51" t="s">
        <v>112</v>
      </c>
      <c r="K20" s="51" t="s">
        <v>112</v>
      </c>
      <c r="L20" s="51" t="s">
        <v>112</v>
      </c>
      <c r="M20" s="1">
        <v>1253186</v>
      </c>
      <c r="N20" s="56" t="s">
        <v>990</v>
      </c>
      <c r="O20" s="55">
        <f t="shared" si="32"/>
        <v>40973</v>
      </c>
      <c r="P20" s="55">
        <f>DATE(2013,9,4)</f>
        <v>41521</v>
      </c>
      <c r="Q20" s="51">
        <v>1085</v>
      </c>
      <c r="S20" s="51">
        <v>2</v>
      </c>
      <c r="U20" s="1">
        <f t="shared" si="2"/>
        <v>549</v>
      </c>
      <c r="V20" s="31">
        <f t="shared" si="3"/>
        <v>1.97632058287796</v>
      </c>
      <c r="W20" s="31">
        <f t="shared" si="4"/>
        <v>721.3570127504554</v>
      </c>
      <c r="X20" s="31">
        <f t="shared" si="5"/>
        <v>0.90169626593806929</v>
      </c>
      <c r="AA20" s="32">
        <f t="shared" si="6"/>
        <v>42552</v>
      </c>
      <c r="AB20" s="32">
        <f t="shared" si="7"/>
        <v>42735</v>
      </c>
      <c r="AC20" s="50">
        <v>57</v>
      </c>
      <c r="AD20" s="1">
        <f t="shared" si="8"/>
        <v>0</v>
      </c>
      <c r="AE20" s="1">
        <f t="shared" si="9"/>
        <v>0</v>
      </c>
      <c r="AF20" s="1">
        <f t="shared" si="10"/>
        <v>0</v>
      </c>
      <c r="AG20" s="1">
        <f t="shared" si="11"/>
        <v>0</v>
      </c>
      <c r="AH20" s="1">
        <f t="shared" si="12"/>
        <v>92</v>
      </c>
      <c r="AI20" s="23">
        <f t="shared" si="13"/>
        <v>0.5</v>
      </c>
      <c r="AJ20" s="23">
        <f t="shared" si="14"/>
        <v>0.45084813296903464</v>
      </c>
      <c r="AK20" s="23">
        <f t="shared" si="15"/>
        <v>12.849171789617488</v>
      </c>
      <c r="AL20" s="23">
        <f t="shared" si="16"/>
        <v>25.698343579234976</v>
      </c>
      <c r="AM20" s="23">
        <f t="shared" si="17"/>
        <v>0</v>
      </c>
      <c r="AN20" s="23">
        <f t="shared" si="18"/>
        <v>25.698343579234976</v>
      </c>
      <c r="AQ20" s="32">
        <f t="shared" si="19"/>
        <v>42736</v>
      </c>
      <c r="AR20" s="32">
        <f t="shared" si="20"/>
        <v>42916</v>
      </c>
      <c r="AS20" s="56">
        <v>0</v>
      </c>
      <c r="AT20" s="1">
        <f t="shared" si="21"/>
        <v>0</v>
      </c>
      <c r="AU20" s="1">
        <f t="shared" si="22"/>
        <v>0</v>
      </c>
      <c r="AV20" s="1">
        <f t="shared" si="23"/>
        <v>0</v>
      </c>
      <c r="AW20" s="1">
        <f t="shared" si="24"/>
        <v>0</v>
      </c>
      <c r="AX20" s="1">
        <f t="shared" si="25"/>
        <v>90.5</v>
      </c>
      <c r="AY20" s="23">
        <f t="shared" si="26"/>
        <v>0.5</v>
      </c>
      <c r="AZ20" s="23">
        <f t="shared" si="27"/>
        <v>0.45084813296903464</v>
      </c>
      <c r="BA20" s="23">
        <f t="shared" si="28"/>
        <v>0</v>
      </c>
      <c r="BB20" s="23">
        <f t="shared" si="29"/>
        <v>0</v>
      </c>
      <c r="BC20" s="23">
        <f t="shared" si="30"/>
        <v>0</v>
      </c>
      <c r="BD20" s="23">
        <f t="shared" si="31"/>
        <v>0</v>
      </c>
    </row>
    <row r="21" spans="1:56">
      <c r="A21" s="1" t="s">
        <v>20</v>
      </c>
      <c r="B21" s="1" t="s">
        <v>53</v>
      </c>
      <c r="C21" s="1" t="s">
        <v>22</v>
      </c>
      <c r="D21" s="1" t="s">
        <v>54</v>
      </c>
      <c r="E21" s="51" t="s">
        <v>107</v>
      </c>
      <c r="F21" s="51" t="s">
        <v>108</v>
      </c>
      <c r="G21" s="51" t="s">
        <v>109</v>
      </c>
      <c r="H21" s="1" t="s">
        <v>179</v>
      </c>
      <c r="I21" s="1" t="s">
        <v>125</v>
      </c>
      <c r="J21" s="51" t="s">
        <v>112</v>
      </c>
      <c r="K21" s="51" t="s">
        <v>112</v>
      </c>
      <c r="L21" s="51" t="s">
        <v>112</v>
      </c>
      <c r="M21" s="1">
        <v>1570851</v>
      </c>
      <c r="N21" s="56" t="s">
        <v>991</v>
      </c>
      <c r="O21" s="55">
        <f>DATE(2012,9,10)</f>
        <v>41162</v>
      </c>
      <c r="P21" s="55">
        <f>DATE(2014,9,10)</f>
        <v>41892</v>
      </c>
      <c r="Q21" s="51">
        <v>1230</v>
      </c>
      <c r="S21" s="51">
        <v>2</v>
      </c>
      <c r="U21" s="1">
        <f t="shared" si="2"/>
        <v>731</v>
      </c>
      <c r="V21" s="31">
        <f t="shared" si="3"/>
        <v>1.682626538987688</v>
      </c>
      <c r="W21" s="31">
        <f t="shared" si="4"/>
        <v>614.15868673050613</v>
      </c>
      <c r="X21" s="31">
        <f t="shared" si="5"/>
        <v>0.76769835841313272</v>
      </c>
      <c r="AA21" s="32">
        <f t="shared" si="6"/>
        <v>42552</v>
      </c>
      <c r="AB21" s="32">
        <f t="shared" si="7"/>
        <v>42735</v>
      </c>
      <c r="AC21" s="50">
        <v>28</v>
      </c>
      <c r="AD21" s="1">
        <f t="shared" si="8"/>
        <v>0</v>
      </c>
      <c r="AE21" s="1">
        <f t="shared" si="9"/>
        <v>0</v>
      </c>
      <c r="AF21" s="1">
        <f t="shared" si="10"/>
        <v>0</v>
      </c>
      <c r="AG21" s="1">
        <f t="shared" si="11"/>
        <v>0</v>
      </c>
      <c r="AH21" s="1">
        <f t="shared" si="12"/>
        <v>92</v>
      </c>
      <c r="AI21" s="23">
        <f t="shared" si="13"/>
        <v>0.5</v>
      </c>
      <c r="AJ21" s="23">
        <f t="shared" si="14"/>
        <v>0.38384917920656636</v>
      </c>
      <c r="AK21" s="23">
        <f t="shared" si="15"/>
        <v>5.3738885088919286</v>
      </c>
      <c r="AL21" s="23">
        <f t="shared" si="16"/>
        <v>10.747777017783857</v>
      </c>
      <c r="AM21" s="23">
        <f t="shared" si="17"/>
        <v>0</v>
      </c>
      <c r="AN21" s="23">
        <f t="shared" si="18"/>
        <v>10.747777017783857</v>
      </c>
      <c r="AQ21" s="32">
        <f t="shared" si="19"/>
        <v>42736</v>
      </c>
      <c r="AR21" s="32">
        <f t="shared" si="20"/>
        <v>42916</v>
      </c>
      <c r="AS21" s="56">
        <v>0</v>
      </c>
      <c r="AT21" s="1">
        <f t="shared" si="21"/>
        <v>0</v>
      </c>
      <c r="AU21" s="1">
        <f t="shared" si="22"/>
        <v>0</v>
      </c>
      <c r="AV21" s="1">
        <f t="shared" si="23"/>
        <v>0</v>
      </c>
      <c r="AW21" s="1">
        <f t="shared" si="24"/>
        <v>0</v>
      </c>
      <c r="AX21" s="1">
        <f t="shared" si="25"/>
        <v>90.5</v>
      </c>
      <c r="AY21" s="23">
        <f t="shared" si="26"/>
        <v>0.5</v>
      </c>
      <c r="AZ21" s="23">
        <f t="shared" si="27"/>
        <v>0.38384917920656636</v>
      </c>
      <c r="BA21" s="23">
        <f t="shared" si="28"/>
        <v>0</v>
      </c>
      <c r="BB21" s="23">
        <f t="shared" si="29"/>
        <v>0</v>
      </c>
      <c r="BC21" s="23">
        <f t="shared" si="30"/>
        <v>0</v>
      </c>
      <c r="BD21" s="23">
        <f t="shared" si="31"/>
        <v>0</v>
      </c>
    </row>
    <row r="22" spans="1:56">
      <c r="A22" s="1" t="s">
        <v>20</v>
      </c>
      <c r="B22" s="1" t="s">
        <v>53</v>
      </c>
      <c r="C22" s="1" t="s">
        <v>22</v>
      </c>
      <c r="D22" s="1" t="s">
        <v>54</v>
      </c>
      <c r="E22" s="51" t="s">
        <v>107</v>
      </c>
      <c r="F22" s="51" t="s">
        <v>822</v>
      </c>
      <c r="G22" s="51" t="s">
        <v>109</v>
      </c>
      <c r="H22" s="1" t="s">
        <v>242</v>
      </c>
      <c r="I22" s="1" t="s">
        <v>111</v>
      </c>
      <c r="J22" s="51" t="s">
        <v>112</v>
      </c>
      <c r="K22" s="51" t="s">
        <v>112</v>
      </c>
      <c r="L22" s="51" t="s">
        <v>112</v>
      </c>
      <c r="M22" s="1">
        <v>1846855</v>
      </c>
      <c r="N22" s="50" t="s">
        <v>992</v>
      </c>
      <c r="O22" s="55">
        <f>DATE(2013,11,18)</f>
        <v>41596</v>
      </c>
      <c r="P22" s="55">
        <f>DATE(2014,1,21)</f>
        <v>41660</v>
      </c>
      <c r="Q22" s="51">
        <v>160</v>
      </c>
      <c r="S22" s="51">
        <v>1</v>
      </c>
      <c r="U22" s="1">
        <f t="shared" si="2"/>
        <v>65</v>
      </c>
      <c r="V22" s="31">
        <f t="shared" si="3"/>
        <v>2.4615384615384617</v>
      </c>
      <c r="W22" s="31">
        <f t="shared" si="4"/>
        <v>160</v>
      </c>
      <c r="X22" s="31">
        <f t="shared" si="5"/>
        <v>0.2</v>
      </c>
      <c r="AA22" s="32">
        <f t="shared" si="6"/>
        <v>42552</v>
      </c>
      <c r="AB22" s="32">
        <f t="shared" si="7"/>
        <v>42735</v>
      </c>
      <c r="AC22" s="50">
        <v>16</v>
      </c>
      <c r="AD22" s="1">
        <f t="shared" si="8"/>
        <v>0</v>
      </c>
      <c r="AE22" s="1">
        <f t="shared" si="9"/>
        <v>0</v>
      </c>
      <c r="AF22" s="1">
        <f t="shared" si="10"/>
        <v>0</v>
      </c>
      <c r="AG22" s="1">
        <f t="shared" si="11"/>
        <v>0</v>
      </c>
      <c r="AH22" s="1">
        <f t="shared" si="12"/>
        <v>92</v>
      </c>
      <c r="AI22" s="23">
        <f t="shared" si="13"/>
        <v>0.5</v>
      </c>
      <c r="AJ22" s="23">
        <f t="shared" si="14"/>
        <v>0.1</v>
      </c>
      <c r="AK22" s="23">
        <f t="shared" si="15"/>
        <v>0.8</v>
      </c>
      <c r="AL22" s="23">
        <f t="shared" si="16"/>
        <v>0.8</v>
      </c>
      <c r="AM22" s="23">
        <f t="shared" si="17"/>
        <v>0</v>
      </c>
      <c r="AN22" s="23">
        <f t="shared" si="18"/>
        <v>0.8</v>
      </c>
      <c r="AQ22" s="32">
        <f t="shared" si="19"/>
        <v>42736</v>
      </c>
      <c r="AR22" s="32">
        <f t="shared" si="20"/>
        <v>42916</v>
      </c>
      <c r="AS22" s="50">
        <v>16</v>
      </c>
      <c r="AT22" s="1">
        <f t="shared" si="21"/>
        <v>0</v>
      </c>
      <c r="AU22" s="1">
        <f t="shared" si="22"/>
        <v>0</v>
      </c>
      <c r="AV22" s="1">
        <f t="shared" si="23"/>
        <v>0</v>
      </c>
      <c r="AW22" s="1">
        <f t="shared" si="24"/>
        <v>0</v>
      </c>
      <c r="AX22" s="1">
        <f t="shared" si="25"/>
        <v>90.5</v>
      </c>
      <c r="AY22" s="23">
        <f t="shared" si="26"/>
        <v>0.5</v>
      </c>
      <c r="AZ22" s="23">
        <f t="shared" si="27"/>
        <v>0.1</v>
      </c>
      <c r="BA22" s="23">
        <f t="shared" si="28"/>
        <v>0.8</v>
      </c>
      <c r="BB22" s="23">
        <f t="shared" si="29"/>
        <v>0.8</v>
      </c>
      <c r="BC22" s="23">
        <f t="shared" si="30"/>
        <v>0</v>
      </c>
      <c r="BD22" s="23">
        <f t="shared" si="31"/>
        <v>0.8</v>
      </c>
    </row>
    <row r="23" spans="1:56">
      <c r="A23" s="1" t="s">
        <v>20</v>
      </c>
      <c r="B23" s="1" t="s">
        <v>53</v>
      </c>
      <c r="C23" s="1" t="s">
        <v>22</v>
      </c>
      <c r="D23" s="1" t="s">
        <v>54</v>
      </c>
      <c r="E23" s="51" t="s">
        <v>107</v>
      </c>
      <c r="F23" s="51" t="s">
        <v>822</v>
      </c>
      <c r="G23" s="51" t="s">
        <v>109</v>
      </c>
      <c r="H23" s="1" t="s">
        <v>242</v>
      </c>
      <c r="I23" s="1" t="s">
        <v>111</v>
      </c>
      <c r="J23" s="51" t="s">
        <v>112</v>
      </c>
      <c r="K23" s="51" t="s">
        <v>112</v>
      </c>
      <c r="L23" s="51" t="s">
        <v>112</v>
      </c>
      <c r="M23" s="1">
        <v>1847292</v>
      </c>
      <c r="N23" s="50" t="s">
        <v>993</v>
      </c>
      <c r="O23" s="55">
        <f>DATE(2013,11,25)</f>
        <v>41603</v>
      </c>
      <c r="P23" s="55">
        <f>DATE(2014,1,28)</f>
        <v>41667</v>
      </c>
      <c r="Q23" s="51">
        <v>160</v>
      </c>
      <c r="S23" s="51">
        <v>1</v>
      </c>
      <c r="U23" s="1">
        <f t="shared" si="2"/>
        <v>65</v>
      </c>
      <c r="V23" s="31">
        <f t="shared" si="3"/>
        <v>2.4615384615384617</v>
      </c>
      <c r="W23" s="31">
        <f t="shared" si="4"/>
        <v>160</v>
      </c>
      <c r="X23" s="31">
        <f t="shared" si="5"/>
        <v>0.2</v>
      </c>
      <c r="AA23" s="32">
        <f t="shared" si="6"/>
        <v>42552</v>
      </c>
      <c r="AB23" s="32">
        <f t="shared" si="7"/>
        <v>42735</v>
      </c>
      <c r="AC23" s="50">
        <v>20</v>
      </c>
      <c r="AD23" s="1">
        <f t="shared" si="8"/>
        <v>0</v>
      </c>
      <c r="AE23" s="1">
        <f t="shared" si="9"/>
        <v>0</v>
      </c>
      <c r="AF23" s="1">
        <f t="shared" si="10"/>
        <v>0</v>
      </c>
      <c r="AG23" s="1">
        <f t="shared" si="11"/>
        <v>0</v>
      </c>
      <c r="AH23" s="1">
        <f t="shared" si="12"/>
        <v>92</v>
      </c>
      <c r="AI23" s="23">
        <f t="shared" si="13"/>
        <v>0.5</v>
      </c>
      <c r="AJ23" s="23">
        <f t="shared" si="14"/>
        <v>0.1</v>
      </c>
      <c r="AK23" s="23">
        <f t="shared" si="15"/>
        <v>1</v>
      </c>
      <c r="AL23" s="23">
        <f t="shared" si="16"/>
        <v>1</v>
      </c>
      <c r="AM23" s="23">
        <f t="shared" si="17"/>
        <v>0</v>
      </c>
      <c r="AN23" s="23">
        <f t="shared" si="18"/>
        <v>1</v>
      </c>
      <c r="AQ23" s="32">
        <f t="shared" si="19"/>
        <v>42736</v>
      </c>
      <c r="AR23" s="32">
        <f t="shared" si="20"/>
        <v>42916</v>
      </c>
      <c r="AS23" s="50">
        <v>20</v>
      </c>
      <c r="AT23" s="1">
        <f t="shared" si="21"/>
        <v>0</v>
      </c>
      <c r="AU23" s="1">
        <f t="shared" si="22"/>
        <v>0</v>
      </c>
      <c r="AV23" s="1">
        <f t="shared" si="23"/>
        <v>0</v>
      </c>
      <c r="AW23" s="1">
        <f t="shared" si="24"/>
        <v>0</v>
      </c>
      <c r="AX23" s="1">
        <f t="shared" si="25"/>
        <v>90.5</v>
      </c>
      <c r="AY23" s="23">
        <f t="shared" si="26"/>
        <v>0.5</v>
      </c>
      <c r="AZ23" s="23">
        <f t="shared" si="27"/>
        <v>0.1</v>
      </c>
      <c r="BA23" s="23">
        <f t="shared" si="28"/>
        <v>1</v>
      </c>
      <c r="BB23" s="23">
        <f t="shared" si="29"/>
        <v>1</v>
      </c>
      <c r="BC23" s="23">
        <f t="shared" si="30"/>
        <v>0</v>
      </c>
      <c r="BD23" s="23">
        <f t="shared" si="31"/>
        <v>1</v>
      </c>
    </row>
    <row r="24" spans="1:56">
      <c r="A24" s="1" t="s">
        <v>20</v>
      </c>
      <c r="B24" s="1" t="s">
        <v>53</v>
      </c>
      <c r="C24" s="1" t="s">
        <v>22</v>
      </c>
      <c r="D24" s="1" t="s">
        <v>54</v>
      </c>
      <c r="E24" s="51" t="s">
        <v>107</v>
      </c>
      <c r="F24" s="51" t="s">
        <v>108</v>
      </c>
      <c r="G24" s="51" t="s">
        <v>109</v>
      </c>
      <c r="H24" s="1" t="s">
        <v>618</v>
      </c>
      <c r="I24" s="1" t="s">
        <v>214</v>
      </c>
      <c r="J24" s="51" t="s">
        <v>112</v>
      </c>
      <c r="K24" s="51" t="s">
        <v>112</v>
      </c>
      <c r="L24" s="51" t="s">
        <v>112</v>
      </c>
      <c r="M24" s="1">
        <v>1852262</v>
      </c>
      <c r="N24" s="50" t="s">
        <v>994</v>
      </c>
      <c r="O24" s="55">
        <f>DATE(2013,9,17)</f>
        <v>41534</v>
      </c>
      <c r="P24" s="55">
        <f>DATE(2015,3,17)</f>
        <v>42080</v>
      </c>
      <c r="Q24" s="51">
        <v>1125</v>
      </c>
      <c r="S24" s="51">
        <v>2</v>
      </c>
      <c r="U24" s="1">
        <f t="shared" si="2"/>
        <v>547</v>
      </c>
      <c r="V24" s="31">
        <f t="shared" si="3"/>
        <v>2.0566727605118831</v>
      </c>
      <c r="W24" s="31">
        <f t="shared" si="4"/>
        <v>750.68555758683738</v>
      </c>
      <c r="X24" s="31">
        <f t="shared" si="5"/>
        <v>0.93835694698354677</v>
      </c>
      <c r="AA24" s="32">
        <f t="shared" si="6"/>
        <v>42552</v>
      </c>
      <c r="AB24" s="32">
        <f t="shared" si="7"/>
        <v>42735</v>
      </c>
      <c r="AC24" s="50">
        <v>19</v>
      </c>
      <c r="AD24" s="1">
        <f t="shared" si="8"/>
        <v>0</v>
      </c>
      <c r="AE24" s="1">
        <f t="shared" si="9"/>
        <v>0</v>
      </c>
      <c r="AF24" s="1">
        <f t="shared" si="10"/>
        <v>0</v>
      </c>
      <c r="AG24" s="1">
        <f t="shared" si="11"/>
        <v>0</v>
      </c>
      <c r="AH24" s="1">
        <f t="shared" si="12"/>
        <v>92</v>
      </c>
      <c r="AI24" s="23">
        <f t="shared" si="13"/>
        <v>0.5</v>
      </c>
      <c r="AJ24" s="23">
        <f t="shared" si="14"/>
        <v>0.46917847349177338</v>
      </c>
      <c r="AK24" s="23">
        <f t="shared" si="15"/>
        <v>4.4571954981718473</v>
      </c>
      <c r="AL24" s="23">
        <f t="shared" si="16"/>
        <v>8.9143909963436947</v>
      </c>
      <c r="AM24" s="23">
        <f t="shared" si="17"/>
        <v>0</v>
      </c>
      <c r="AN24" s="23">
        <f t="shared" si="18"/>
        <v>8.9143909963436947</v>
      </c>
      <c r="AQ24" s="32">
        <f t="shared" si="19"/>
        <v>42736</v>
      </c>
      <c r="AR24" s="32">
        <f t="shared" si="20"/>
        <v>42916</v>
      </c>
      <c r="AS24" s="50">
        <v>1</v>
      </c>
      <c r="AT24" s="1">
        <f t="shared" si="21"/>
        <v>0</v>
      </c>
      <c r="AU24" s="1">
        <f t="shared" si="22"/>
        <v>0</v>
      </c>
      <c r="AV24" s="1">
        <f t="shared" si="23"/>
        <v>0</v>
      </c>
      <c r="AW24" s="1">
        <f t="shared" si="24"/>
        <v>0</v>
      </c>
      <c r="AX24" s="1">
        <f t="shared" si="25"/>
        <v>90.5</v>
      </c>
      <c r="AY24" s="23">
        <f t="shared" si="26"/>
        <v>0.5</v>
      </c>
      <c r="AZ24" s="23">
        <f t="shared" si="27"/>
        <v>0.46917847349177338</v>
      </c>
      <c r="BA24" s="23">
        <f t="shared" si="28"/>
        <v>0.23458923674588669</v>
      </c>
      <c r="BB24" s="23">
        <f t="shared" si="29"/>
        <v>0.46917847349177338</v>
      </c>
      <c r="BC24" s="23">
        <f t="shared" si="30"/>
        <v>0</v>
      </c>
      <c r="BD24" s="23">
        <f t="shared" si="31"/>
        <v>0.46917847349177338</v>
      </c>
    </row>
    <row r="25" spans="1:56">
      <c r="A25" s="1" t="s">
        <v>20</v>
      </c>
      <c r="B25" s="1" t="s">
        <v>53</v>
      </c>
      <c r="C25" s="1" t="s">
        <v>22</v>
      </c>
      <c r="D25" s="1" t="s">
        <v>54</v>
      </c>
      <c r="E25" s="51" t="s">
        <v>107</v>
      </c>
      <c r="F25" s="51" t="s">
        <v>108</v>
      </c>
      <c r="G25" s="51" t="s">
        <v>109</v>
      </c>
      <c r="H25" s="1" t="s">
        <v>146</v>
      </c>
      <c r="I25" s="1" t="s">
        <v>147</v>
      </c>
      <c r="J25" s="51" t="s">
        <v>148</v>
      </c>
      <c r="K25" s="51" t="s">
        <v>112</v>
      </c>
      <c r="L25" s="51" t="s">
        <v>112</v>
      </c>
      <c r="M25" s="1">
        <v>1852263</v>
      </c>
      <c r="N25" s="50" t="s">
        <v>995</v>
      </c>
      <c r="O25" s="55">
        <f>DATE(2013,9,17)</f>
        <v>41534</v>
      </c>
      <c r="P25" s="55">
        <f>DATE(2015,3,17)</f>
        <v>42080</v>
      </c>
      <c r="Q25" s="51">
        <v>1335</v>
      </c>
      <c r="S25" s="51">
        <v>2.5</v>
      </c>
      <c r="U25" s="1">
        <f t="shared" si="2"/>
        <v>547</v>
      </c>
      <c r="V25" s="31">
        <f t="shared" si="3"/>
        <v>2.4405850091407677</v>
      </c>
      <c r="W25" s="31">
        <f t="shared" si="4"/>
        <v>890.81352833638016</v>
      </c>
      <c r="X25" s="31">
        <f t="shared" si="5"/>
        <v>1.1135169104204752</v>
      </c>
      <c r="AA25" s="32">
        <f t="shared" si="6"/>
        <v>42552</v>
      </c>
      <c r="AB25" s="32">
        <f t="shared" si="7"/>
        <v>42735</v>
      </c>
      <c r="AC25" s="50">
        <v>30</v>
      </c>
      <c r="AD25" s="1">
        <f t="shared" si="8"/>
        <v>0</v>
      </c>
      <c r="AE25" s="1">
        <f t="shared" si="9"/>
        <v>0</v>
      </c>
      <c r="AF25" s="1">
        <f t="shared" si="10"/>
        <v>0</v>
      </c>
      <c r="AG25" s="1">
        <f t="shared" si="11"/>
        <v>0</v>
      </c>
      <c r="AH25" s="1">
        <f t="shared" si="12"/>
        <v>92</v>
      </c>
      <c r="AI25" s="23">
        <f t="shared" si="13"/>
        <v>0.5</v>
      </c>
      <c r="AJ25" s="23">
        <f t="shared" si="14"/>
        <v>0.55675845521023759</v>
      </c>
      <c r="AK25" s="23">
        <f t="shared" si="15"/>
        <v>8.3513768281535636</v>
      </c>
      <c r="AL25" s="23">
        <f t="shared" si="16"/>
        <v>20.878442070383908</v>
      </c>
      <c r="AM25" s="23">
        <f t="shared" si="17"/>
        <v>10.439221035191954</v>
      </c>
      <c r="AN25" s="23">
        <f t="shared" si="18"/>
        <v>31.317663105575861</v>
      </c>
      <c r="AQ25" s="32">
        <f t="shared" si="19"/>
        <v>42736</v>
      </c>
      <c r="AR25" s="32">
        <f t="shared" si="20"/>
        <v>42916</v>
      </c>
      <c r="AS25" s="50">
        <v>4</v>
      </c>
      <c r="AT25" s="1">
        <f t="shared" si="21"/>
        <v>0</v>
      </c>
      <c r="AU25" s="1">
        <f t="shared" si="22"/>
        <v>0</v>
      </c>
      <c r="AV25" s="1">
        <f t="shared" si="23"/>
        <v>0</v>
      </c>
      <c r="AW25" s="1">
        <f t="shared" si="24"/>
        <v>0</v>
      </c>
      <c r="AX25" s="1">
        <f t="shared" si="25"/>
        <v>90.5</v>
      </c>
      <c r="AY25" s="23">
        <f t="shared" si="26"/>
        <v>0.5</v>
      </c>
      <c r="AZ25" s="23">
        <f t="shared" si="27"/>
        <v>0.55675845521023759</v>
      </c>
      <c r="BA25" s="23">
        <f t="shared" si="28"/>
        <v>1.1135169104204752</v>
      </c>
      <c r="BB25" s="23">
        <f t="shared" si="29"/>
        <v>2.7837922760511882</v>
      </c>
      <c r="BC25" s="23">
        <f t="shared" si="30"/>
        <v>1.3918961380255941</v>
      </c>
      <c r="BD25" s="23">
        <f t="shared" si="31"/>
        <v>4.1756884140767827</v>
      </c>
    </row>
    <row r="26" spans="1:56">
      <c r="A26" s="1" t="s">
        <v>20</v>
      </c>
      <c r="B26" s="1" t="s">
        <v>53</v>
      </c>
      <c r="C26" s="1" t="s">
        <v>22</v>
      </c>
      <c r="D26" s="1" t="s">
        <v>54</v>
      </c>
      <c r="E26" s="51" t="s">
        <v>107</v>
      </c>
      <c r="F26" s="51" t="s">
        <v>108</v>
      </c>
      <c r="G26" s="51" t="s">
        <v>109</v>
      </c>
      <c r="H26" s="1" t="s">
        <v>642</v>
      </c>
      <c r="I26" s="1" t="s">
        <v>147</v>
      </c>
      <c r="J26" s="51" t="s">
        <v>148</v>
      </c>
      <c r="K26" s="51" t="s">
        <v>112</v>
      </c>
      <c r="L26" s="51" t="s">
        <v>112</v>
      </c>
      <c r="M26" s="1">
        <v>1852264</v>
      </c>
      <c r="N26" s="50" t="s">
        <v>996</v>
      </c>
      <c r="O26" s="55">
        <f>DATE(2013,9,17)</f>
        <v>41534</v>
      </c>
      <c r="P26" s="55">
        <f>DATE(2015,9,17)</f>
        <v>42264</v>
      </c>
      <c r="Q26" s="51">
        <v>1515</v>
      </c>
      <c r="S26" s="51">
        <v>2.5</v>
      </c>
      <c r="U26" s="1">
        <f t="shared" si="2"/>
        <v>731</v>
      </c>
      <c r="V26" s="31">
        <f t="shared" si="3"/>
        <v>2.0725034199726404</v>
      </c>
      <c r="W26" s="31">
        <f t="shared" si="4"/>
        <v>756.46374829001377</v>
      </c>
      <c r="X26" s="31">
        <f t="shared" si="5"/>
        <v>0.94557968536251724</v>
      </c>
      <c r="AA26" s="32">
        <f t="shared" si="6"/>
        <v>42552</v>
      </c>
      <c r="AB26" s="32">
        <f t="shared" si="7"/>
        <v>42735</v>
      </c>
      <c r="AC26" s="50">
        <v>31</v>
      </c>
      <c r="AD26" s="1">
        <f t="shared" si="8"/>
        <v>0</v>
      </c>
      <c r="AE26" s="1">
        <f t="shared" si="9"/>
        <v>0</v>
      </c>
      <c r="AF26" s="1">
        <f t="shared" si="10"/>
        <v>0</v>
      </c>
      <c r="AG26" s="1">
        <f t="shared" si="11"/>
        <v>0</v>
      </c>
      <c r="AH26" s="1">
        <f t="shared" si="12"/>
        <v>92</v>
      </c>
      <c r="AI26" s="23">
        <f t="shared" si="13"/>
        <v>0.5</v>
      </c>
      <c r="AJ26" s="23">
        <f t="shared" si="14"/>
        <v>0.47278984268125862</v>
      </c>
      <c r="AK26" s="23">
        <f t="shared" si="15"/>
        <v>7.3282425615595086</v>
      </c>
      <c r="AL26" s="23">
        <f t="shared" si="16"/>
        <v>18.320606403898772</v>
      </c>
      <c r="AM26" s="23">
        <f t="shared" si="17"/>
        <v>9.160303201949386</v>
      </c>
      <c r="AN26" s="23">
        <f t="shared" si="18"/>
        <v>27.480909605848158</v>
      </c>
      <c r="AQ26" s="32">
        <f t="shared" si="19"/>
        <v>42736</v>
      </c>
      <c r="AR26" s="32">
        <f t="shared" si="20"/>
        <v>42916</v>
      </c>
      <c r="AS26" s="50">
        <v>3</v>
      </c>
      <c r="AT26" s="1">
        <f t="shared" si="21"/>
        <v>0</v>
      </c>
      <c r="AU26" s="1">
        <f t="shared" si="22"/>
        <v>0</v>
      </c>
      <c r="AV26" s="1">
        <f t="shared" si="23"/>
        <v>0</v>
      </c>
      <c r="AW26" s="1">
        <f t="shared" si="24"/>
        <v>0</v>
      </c>
      <c r="AX26" s="1">
        <f t="shared" si="25"/>
        <v>90.5</v>
      </c>
      <c r="AY26" s="23">
        <f t="shared" si="26"/>
        <v>0.5</v>
      </c>
      <c r="AZ26" s="23">
        <f t="shared" si="27"/>
        <v>0.47278984268125862</v>
      </c>
      <c r="BA26" s="23">
        <f t="shared" si="28"/>
        <v>0.7091847640218879</v>
      </c>
      <c r="BB26" s="23">
        <f t="shared" si="29"/>
        <v>1.7729619100547198</v>
      </c>
      <c r="BC26" s="23">
        <f t="shared" si="30"/>
        <v>0.88648095502735991</v>
      </c>
      <c r="BD26" s="23">
        <f t="shared" si="31"/>
        <v>2.6594428650820796</v>
      </c>
    </row>
    <row r="27" spans="1:56">
      <c r="A27" s="1" t="s">
        <v>20</v>
      </c>
      <c r="B27" s="1" t="s">
        <v>53</v>
      </c>
      <c r="C27" s="1" t="s">
        <v>22</v>
      </c>
      <c r="D27" s="1" t="s">
        <v>54</v>
      </c>
      <c r="E27" s="51" t="s">
        <v>154</v>
      </c>
      <c r="F27" s="51" t="s">
        <v>108</v>
      </c>
      <c r="G27" s="51" t="s">
        <v>109</v>
      </c>
      <c r="H27" s="1" t="s">
        <v>146</v>
      </c>
      <c r="I27" s="1" t="s">
        <v>147</v>
      </c>
      <c r="J27" s="51" t="s">
        <v>148</v>
      </c>
      <c r="K27" s="51" t="s">
        <v>112</v>
      </c>
      <c r="L27" s="51" t="s">
        <v>148</v>
      </c>
      <c r="M27" s="1">
        <v>1946621</v>
      </c>
      <c r="N27" s="50" t="s">
        <v>155</v>
      </c>
      <c r="O27" s="55">
        <f>DATE(2012,3,1)</f>
        <v>40969</v>
      </c>
      <c r="P27" s="55">
        <f>DATE(2014,12,31)</f>
        <v>42004</v>
      </c>
      <c r="Q27" s="51">
        <v>1000</v>
      </c>
      <c r="S27" s="51">
        <v>2.5</v>
      </c>
      <c r="U27" s="1">
        <f t="shared" si="2"/>
        <v>1036</v>
      </c>
      <c r="V27" s="31">
        <f t="shared" si="3"/>
        <v>0.96525096525096521</v>
      </c>
      <c r="W27" s="31">
        <f t="shared" si="4"/>
        <v>352.31660231660231</v>
      </c>
      <c r="X27" s="31">
        <f t="shared" si="5"/>
        <v>0.44039575289575289</v>
      </c>
      <c r="AA27" s="32">
        <f t="shared" si="6"/>
        <v>42552</v>
      </c>
      <c r="AB27" s="32">
        <f t="shared" si="7"/>
        <v>42735</v>
      </c>
      <c r="AC27" s="50">
        <v>44</v>
      </c>
      <c r="AD27" s="1">
        <f t="shared" si="8"/>
        <v>0</v>
      </c>
      <c r="AE27" s="1">
        <f t="shared" si="9"/>
        <v>0</v>
      </c>
      <c r="AF27" s="1">
        <f t="shared" si="10"/>
        <v>0</v>
      </c>
      <c r="AG27" s="1">
        <f t="shared" si="11"/>
        <v>0</v>
      </c>
      <c r="AH27" s="1">
        <f t="shared" si="12"/>
        <v>92</v>
      </c>
      <c r="AI27" s="23">
        <f t="shared" si="13"/>
        <v>0.5</v>
      </c>
      <c r="AJ27" s="23">
        <f t="shared" si="14"/>
        <v>0.22019787644787644</v>
      </c>
      <c r="AK27" s="23">
        <f t="shared" si="15"/>
        <v>4.844353281853282</v>
      </c>
      <c r="AL27" s="23">
        <f t="shared" si="16"/>
        <v>12.110883204633204</v>
      </c>
      <c r="AM27" s="23">
        <f t="shared" si="17"/>
        <v>6.055441602316602</v>
      </c>
      <c r="AN27" s="23">
        <f t="shared" si="18"/>
        <v>18.166324806949806</v>
      </c>
      <c r="AQ27" s="32">
        <f t="shared" si="19"/>
        <v>42736</v>
      </c>
      <c r="AR27" s="32">
        <f t="shared" si="20"/>
        <v>42916</v>
      </c>
      <c r="AS27" s="50">
        <v>1</v>
      </c>
      <c r="AT27" s="1">
        <f t="shared" si="21"/>
        <v>0</v>
      </c>
      <c r="AU27" s="1">
        <f t="shared" si="22"/>
        <v>0</v>
      </c>
      <c r="AV27" s="1">
        <f t="shared" si="23"/>
        <v>0</v>
      </c>
      <c r="AW27" s="1">
        <f t="shared" si="24"/>
        <v>0</v>
      </c>
      <c r="AX27" s="1">
        <f t="shared" si="25"/>
        <v>90.5</v>
      </c>
      <c r="AY27" s="23">
        <f t="shared" si="26"/>
        <v>0.5</v>
      </c>
      <c r="AZ27" s="23">
        <f t="shared" si="27"/>
        <v>0.22019787644787644</v>
      </c>
      <c r="BA27" s="23">
        <f t="shared" si="28"/>
        <v>0.11009893822393822</v>
      </c>
      <c r="BB27" s="23">
        <f t="shared" si="29"/>
        <v>0.27524734555984554</v>
      </c>
      <c r="BC27" s="23">
        <f t="shared" si="30"/>
        <v>0.13762367277992277</v>
      </c>
      <c r="BD27" s="23">
        <f t="shared" si="31"/>
        <v>0.4128710183397683</v>
      </c>
    </row>
    <row r="28" spans="1:56">
      <c r="A28" s="1" t="s">
        <v>20</v>
      </c>
      <c r="B28" s="1" t="s">
        <v>53</v>
      </c>
      <c r="C28" s="1" t="s">
        <v>22</v>
      </c>
      <c r="D28" s="1" t="s">
        <v>54</v>
      </c>
      <c r="E28" s="51" t="s">
        <v>154</v>
      </c>
      <c r="F28" s="51" t="s">
        <v>108</v>
      </c>
      <c r="G28" s="51" t="s">
        <v>109</v>
      </c>
      <c r="H28" s="1" t="s">
        <v>175</v>
      </c>
      <c r="I28" s="1" t="s">
        <v>147</v>
      </c>
      <c r="J28" s="51" t="s">
        <v>148</v>
      </c>
      <c r="K28" s="51" t="s">
        <v>112</v>
      </c>
      <c r="L28" s="51" t="s">
        <v>148</v>
      </c>
      <c r="M28" s="1">
        <v>1946623</v>
      </c>
      <c r="N28" s="50" t="s">
        <v>997</v>
      </c>
      <c r="O28" s="55">
        <f>DATE(2012,3,1)</f>
        <v>40969</v>
      </c>
      <c r="P28" s="55">
        <f>DATE(2014,12,31)</f>
        <v>42004</v>
      </c>
      <c r="Q28" s="51">
        <v>1000</v>
      </c>
      <c r="S28" s="51">
        <v>2.5</v>
      </c>
      <c r="U28" s="1">
        <f t="shared" si="2"/>
        <v>1036</v>
      </c>
      <c r="V28" s="31">
        <f t="shared" si="3"/>
        <v>0.96525096525096521</v>
      </c>
      <c r="W28" s="31">
        <f t="shared" si="4"/>
        <v>352.31660231660231</v>
      </c>
      <c r="X28" s="31">
        <f t="shared" si="5"/>
        <v>0.44039575289575289</v>
      </c>
      <c r="AA28" s="32">
        <f t="shared" si="6"/>
        <v>42552</v>
      </c>
      <c r="AB28" s="32">
        <f t="shared" si="7"/>
        <v>42735</v>
      </c>
      <c r="AC28" s="50">
        <v>16</v>
      </c>
      <c r="AD28" s="1">
        <f t="shared" si="8"/>
        <v>0</v>
      </c>
      <c r="AE28" s="1">
        <f t="shared" si="9"/>
        <v>0</v>
      </c>
      <c r="AF28" s="1">
        <f t="shared" si="10"/>
        <v>0</v>
      </c>
      <c r="AG28" s="1">
        <f t="shared" si="11"/>
        <v>0</v>
      </c>
      <c r="AH28" s="1">
        <f t="shared" si="12"/>
        <v>92</v>
      </c>
      <c r="AI28" s="23">
        <f t="shared" si="13"/>
        <v>0.5</v>
      </c>
      <c r="AJ28" s="23">
        <f t="shared" si="14"/>
        <v>0.22019787644787644</v>
      </c>
      <c r="AK28" s="23">
        <f t="shared" si="15"/>
        <v>1.7615830115830116</v>
      </c>
      <c r="AL28" s="23">
        <f t="shared" si="16"/>
        <v>4.4039575289575286</v>
      </c>
      <c r="AM28" s="23">
        <f t="shared" si="17"/>
        <v>2.2019787644787643</v>
      </c>
      <c r="AN28" s="23">
        <f t="shared" si="18"/>
        <v>6.6059362934362928</v>
      </c>
      <c r="AQ28" s="32">
        <f t="shared" si="19"/>
        <v>42736</v>
      </c>
      <c r="AR28" s="32">
        <f t="shared" si="20"/>
        <v>42916</v>
      </c>
      <c r="AS28" s="50">
        <v>16</v>
      </c>
      <c r="AT28" s="1">
        <f t="shared" si="21"/>
        <v>0</v>
      </c>
      <c r="AU28" s="1">
        <f t="shared" si="22"/>
        <v>0</v>
      </c>
      <c r="AV28" s="1">
        <f t="shared" si="23"/>
        <v>0</v>
      </c>
      <c r="AW28" s="1">
        <f t="shared" si="24"/>
        <v>0</v>
      </c>
      <c r="AX28" s="1">
        <f t="shared" si="25"/>
        <v>90.5</v>
      </c>
      <c r="AY28" s="23">
        <f t="shared" si="26"/>
        <v>0.5</v>
      </c>
      <c r="AZ28" s="23">
        <f t="shared" si="27"/>
        <v>0.22019787644787644</v>
      </c>
      <c r="BA28" s="23">
        <f t="shared" si="28"/>
        <v>1.7615830115830116</v>
      </c>
      <c r="BB28" s="23">
        <f t="shared" si="29"/>
        <v>4.4039575289575286</v>
      </c>
      <c r="BC28" s="23">
        <f t="shared" si="30"/>
        <v>2.2019787644787643</v>
      </c>
      <c r="BD28" s="23">
        <f t="shared" si="31"/>
        <v>6.6059362934362928</v>
      </c>
    </row>
    <row r="29" spans="1:56">
      <c r="A29" s="1" t="s">
        <v>20</v>
      </c>
      <c r="B29" s="1" t="s">
        <v>53</v>
      </c>
      <c r="C29" s="1" t="s">
        <v>22</v>
      </c>
      <c r="D29" s="1" t="s">
        <v>54</v>
      </c>
      <c r="E29" s="51" t="s">
        <v>154</v>
      </c>
      <c r="F29" s="51" t="s">
        <v>108</v>
      </c>
      <c r="G29" s="51" t="s">
        <v>109</v>
      </c>
      <c r="H29" s="1" t="s">
        <v>169</v>
      </c>
      <c r="I29" s="1" t="s">
        <v>116</v>
      </c>
      <c r="J29" s="51" t="s">
        <v>112</v>
      </c>
      <c r="K29" s="51" t="s">
        <v>112</v>
      </c>
      <c r="L29" s="51" t="s">
        <v>112</v>
      </c>
      <c r="M29" s="1">
        <v>1972501</v>
      </c>
      <c r="N29" s="50" t="s">
        <v>471</v>
      </c>
      <c r="O29" s="55">
        <f>DATE(2014,10,1)</f>
        <v>41913</v>
      </c>
      <c r="P29" s="55">
        <f>DATE(2016,11,30)</f>
        <v>42704</v>
      </c>
      <c r="Q29" s="51">
        <v>1680</v>
      </c>
      <c r="S29" s="51">
        <v>2</v>
      </c>
      <c r="U29" s="1">
        <f t="shared" si="2"/>
        <v>792</v>
      </c>
      <c r="V29" s="31">
        <f t="shared" si="3"/>
        <v>2.1212121212121211</v>
      </c>
      <c r="W29" s="31">
        <f t="shared" si="4"/>
        <v>774.24242424242425</v>
      </c>
      <c r="X29" s="31">
        <f t="shared" si="5"/>
        <v>0.96780303030303028</v>
      </c>
      <c r="AA29" s="32">
        <f t="shared" si="6"/>
        <v>42552</v>
      </c>
      <c r="AB29" s="32">
        <f t="shared" si="7"/>
        <v>42735</v>
      </c>
      <c r="AC29" s="50">
        <v>20</v>
      </c>
      <c r="AD29" s="1">
        <f t="shared" si="8"/>
        <v>0</v>
      </c>
      <c r="AE29" s="1">
        <f t="shared" si="9"/>
        <v>0</v>
      </c>
      <c r="AF29" s="1">
        <f t="shared" si="10"/>
        <v>153</v>
      </c>
      <c r="AG29" s="1">
        <f t="shared" si="11"/>
        <v>0</v>
      </c>
      <c r="AH29" s="1">
        <f t="shared" si="12"/>
        <v>0</v>
      </c>
      <c r="AI29" s="23">
        <f t="shared" si="13"/>
        <v>0.83152173913043481</v>
      </c>
      <c r="AJ29" s="23">
        <f t="shared" si="14"/>
        <v>0.80474925889328064</v>
      </c>
      <c r="AK29" s="23">
        <f t="shared" si="15"/>
        <v>16.094985177865613</v>
      </c>
      <c r="AL29" s="23">
        <f t="shared" si="16"/>
        <v>32.189970355731226</v>
      </c>
      <c r="AM29" s="23">
        <f t="shared" si="17"/>
        <v>0</v>
      </c>
      <c r="AN29" s="23">
        <f t="shared" si="18"/>
        <v>32.189970355731226</v>
      </c>
      <c r="AQ29" s="32">
        <f t="shared" si="19"/>
        <v>42736</v>
      </c>
      <c r="AR29" s="32">
        <f t="shared" si="20"/>
        <v>42916</v>
      </c>
      <c r="AS29" s="50">
        <v>20</v>
      </c>
      <c r="AT29" s="1">
        <f t="shared" si="21"/>
        <v>0</v>
      </c>
      <c r="AU29" s="1">
        <f t="shared" si="22"/>
        <v>0</v>
      </c>
      <c r="AV29" s="1">
        <f t="shared" si="23"/>
        <v>0</v>
      </c>
      <c r="AW29" s="1">
        <f t="shared" si="24"/>
        <v>0</v>
      </c>
      <c r="AX29" s="1">
        <f t="shared" si="25"/>
        <v>90.5</v>
      </c>
      <c r="AY29" s="23">
        <f t="shared" si="26"/>
        <v>0.5</v>
      </c>
      <c r="AZ29" s="23">
        <f t="shared" si="27"/>
        <v>0.48390151515151514</v>
      </c>
      <c r="BA29" s="23">
        <f t="shared" si="28"/>
        <v>4.8390151515151514</v>
      </c>
      <c r="BB29" s="23">
        <f t="shared" si="29"/>
        <v>9.6780303030303028</v>
      </c>
      <c r="BC29" s="23">
        <f t="shared" si="30"/>
        <v>0</v>
      </c>
      <c r="BD29" s="23">
        <f t="shared" si="31"/>
        <v>9.6780303030303028</v>
      </c>
    </row>
    <row r="30" spans="1:56">
      <c r="A30" s="1" t="s">
        <v>20</v>
      </c>
      <c r="B30" s="1" t="s">
        <v>53</v>
      </c>
      <c r="C30" s="1" t="s">
        <v>22</v>
      </c>
      <c r="D30" s="1" t="s">
        <v>54</v>
      </c>
      <c r="E30" s="51" t="s">
        <v>154</v>
      </c>
      <c r="F30" s="51" t="s">
        <v>108</v>
      </c>
      <c r="G30" s="51" t="s">
        <v>109</v>
      </c>
      <c r="H30" s="1" t="s">
        <v>224</v>
      </c>
      <c r="I30" s="1" t="s">
        <v>167</v>
      </c>
      <c r="J30" s="51" t="s">
        <v>112</v>
      </c>
      <c r="K30" s="51" t="s">
        <v>112</v>
      </c>
      <c r="L30" s="51" t="s">
        <v>148</v>
      </c>
      <c r="M30" s="1">
        <v>1972502</v>
      </c>
      <c r="N30" s="50" t="s">
        <v>468</v>
      </c>
      <c r="O30" s="55">
        <f>DATE(2014,10,1)</f>
        <v>41913</v>
      </c>
      <c r="P30" s="55">
        <f>DATE(2016,11,30)</f>
        <v>42704</v>
      </c>
      <c r="Q30" s="51">
        <v>1680</v>
      </c>
      <c r="S30" s="51">
        <v>1</v>
      </c>
      <c r="U30" s="1">
        <f t="shared" si="2"/>
        <v>792</v>
      </c>
      <c r="V30" s="31">
        <f t="shared" si="3"/>
        <v>2.1212121212121211</v>
      </c>
      <c r="W30" s="31">
        <f t="shared" si="4"/>
        <v>774.24242424242425</v>
      </c>
      <c r="X30" s="31">
        <f t="shared" si="5"/>
        <v>0.96780303030303028</v>
      </c>
      <c r="AA30" s="32">
        <f t="shared" si="6"/>
        <v>42552</v>
      </c>
      <c r="AB30" s="32">
        <f t="shared" si="7"/>
        <v>42735</v>
      </c>
      <c r="AC30" s="50">
        <v>36</v>
      </c>
      <c r="AD30" s="1">
        <f t="shared" si="8"/>
        <v>0</v>
      </c>
      <c r="AE30" s="1">
        <f t="shared" si="9"/>
        <v>0</v>
      </c>
      <c r="AF30" s="1">
        <f t="shared" si="10"/>
        <v>153</v>
      </c>
      <c r="AG30" s="1">
        <f t="shared" si="11"/>
        <v>0</v>
      </c>
      <c r="AH30" s="1">
        <f t="shared" si="12"/>
        <v>0</v>
      </c>
      <c r="AI30" s="23">
        <f t="shared" si="13"/>
        <v>0.83152173913043481</v>
      </c>
      <c r="AJ30" s="23">
        <f t="shared" si="14"/>
        <v>0.80474925889328064</v>
      </c>
      <c r="AK30" s="23">
        <f t="shared" si="15"/>
        <v>28.970973320158102</v>
      </c>
      <c r="AL30" s="23">
        <f t="shared" si="16"/>
        <v>28.970973320158102</v>
      </c>
      <c r="AM30" s="23">
        <f t="shared" si="17"/>
        <v>0</v>
      </c>
      <c r="AN30" s="23">
        <f t="shared" si="18"/>
        <v>28.970973320158102</v>
      </c>
      <c r="AQ30" s="32">
        <f t="shared" si="19"/>
        <v>42736</v>
      </c>
      <c r="AR30" s="32">
        <f t="shared" si="20"/>
        <v>42916</v>
      </c>
      <c r="AS30" s="50">
        <v>36</v>
      </c>
      <c r="AT30" s="1">
        <f t="shared" si="21"/>
        <v>0</v>
      </c>
      <c r="AU30" s="1">
        <f t="shared" si="22"/>
        <v>0</v>
      </c>
      <c r="AV30" s="1">
        <f t="shared" si="23"/>
        <v>0</v>
      </c>
      <c r="AW30" s="1">
        <f t="shared" si="24"/>
        <v>0</v>
      </c>
      <c r="AX30" s="1">
        <f t="shared" si="25"/>
        <v>90.5</v>
      </c>
      <c r="AY30" s="23">
        <f t="shared" si="26"/>
        <v>0.5</v>
      </c>
      <c r="AZ30" s="23">
        <f t="shared" si="27"/>
        <v>0.48390151515151514</v>
      </c>
      <c r="BA30" s="23">
        <f t="shared" si="28"/>
        <v>8.7102272727272734</v>
      </c>
      <c r="BB30" s="23">
        <f t="shared" si="29"/>
        <v>8.7102272727272734</v>
      </c>
      <c r="BC30" s="23">
        <f t="shared" si="30"/>
        <v>0</v>
      </c>
      <c r="BD30" s="23">
        <f t="shared" si="31"/>
        <v>8.7102272727272734</v>
      </c>
    </row>
    <row r="31" spans="1:56">
      <c r="A31" s="1" t="s">
        <v>20</v>
      </c>
      <c r="B31" s="1" t="s">
        <v>53</v>
      </c>
      <c r="C31" s="1" t="s">
        <v>22</v>
      </c>
      <c r="D31" s="1" t="s">
        <v>54</v>
      </c>
      <c r="E31" s="51" t="s">
        <v>107</v>
      </c>
      <c r="F31" s="51" t="s">
        <v>108</v>
      </c>
      <c r="G31" s="51" t="s">
        <v>109</v>
      </c>
      <c r="H31" s="1" t="s">
        <v>179</v>
      </c>
      <c r="I31" s="1" t="s">
        <v>125</v>
      </c>
      <c r="J31" s="51" t="s">
        <v>112</v>
      </c>
      <c r="K31" s="51" t="s">
        <v>112</v>
      </c>
      <c r="L31" s="51" t="s">
        <v>112</v>
      </c>
      <c r="M31" s="1">
        <v>1972539</v>
      </c>
      <c r="N31" s="50" t="s">
        <v>998</v>
      </c>
      <c r="O31" s="55">
        <f>DATE(2014,8,4)</f>
        <v>41855</v>
      </c>
      <c r="P31" s="55">
        <f>DATE(2016,6,4)</f>
        <v>42525</v>
      </c>
      <c r="Q31" s="51">
        <v>1485</v>
      </c>
      <c r="S31" s="51">
        <v>2</v>
      </c>
      <c r="U31" s="1">
        <f t="shared" si="2"/>
        <v>671</v>
      </c>
      <c r="V31" s="31">
        <f t="shared" si="3"/>
        <v>2.2131147540983607</v>
      </c>
      <c r="W31" s="31">
        <f t="shared" si="4"/>
        <v>807.78688524590166</v>
      </c>
      <c r="X31" s="31">
        <f t="shared" si="5"/>
        <v>1.009733606557377</v>
      </c>
      <c r="AA31" s="32">
        <f t="shared" si="6"/>
        <v>42552</v>
      </c>
      <c r="AB31" s="32">
        <f t="shared" si="7"/>
        <v>42735</v>
      </c>
      <c r="AC31" s="50">
        <v>10</v>
      </c>
      <c r="AD31" s="1">
        <f t="shared" si="8"/>
        <v>0</v>
      </c>
      <c r="AE31" s="1">
        <f t="shared" si="9"/>
        <v>0</v>
      </c>
      <c r="AF31" s="1">
        <f t="shared" si="10"/>
        <v>0</v>
      </c>
      <c r="AG31" s="1">
        <f t="shared" si="11"/>
        <v>0</v>
      </c>
      <c r="AH31" s="1">
        <f t="shared" si="12"/>
        <v>92</v>
      </c>
      <c r="AI31" s="23">
        <f t="shared" si="13"/>
        <v>0.5</v>
      </c>
      <c r="AJ31" s="23">
        <f t="shared" si="14"/>
        <v>0.50486680327868849</v>
      </c>
      <c r="AK31" s="23">
        <f t="shared" si="15"/>
        <v>2.5243340163934427</v>
      </c>
      <c r="AL31" s="23">
        <f t="shared" si="16"/>
        <v>5.0486680327868854</v>
      </c>
      <c r="AM31" s="23">
        <f t="shared" si="17"/>
        <v>0</v>
      </c>
      <c r="AN31" s="23">
        <f t="shared" si="18"/>
        <v>5.0486680327868854</v>
      </c>
      <c r="AQ31" s="32">
        <f t="shared" si="19"/>
        <v>42736</v>
      </c>
      <c r="AR31" s="32">
        <f t="shared" si="20"/>
        <v>42916</v>
      </c>
      <c r="AS31" s="50">
        <v>8</v>
      </c>
      <c r="AT31" s="1">
        <f t="shared" si="21"/>
        <v>0</v>
      </c>
      <c r="AU31" s="1">
        <f t="shared" si="22"/>
        <v>0</v>
      </c>
      <c r="AV31" s="1">
        <f t="shared" si="23"/>
        <v>0</v>
      </c>
      <c r="AW31" s="1">
        <f t="shared" si="24"/>
        <v>0</v>
      </c>
      <c r="AX31" s="1">
        <f t="shared" si="25"/>
        <v>90.5</v>
      </c>
      <c r="AY31" s="23">
        <f t="shared" si="26"/>
        <v>0.5</v>
      </c>
      <c r="AZ31" s="23">
        <f t="shared" si="27"/>
        <v>0.50486680327868849</v>
      </c>
      <c r="BA31" s="23">
        <f t="shared" si="28"/>
        <v>2.019467213114754</v>
      </c>
      <c r="BB31" s="23">
        <f t="shared" si="29"/>
        <v>4.0389344262295079</v>
      </c>
      <c r="BC31" s="23">
        <f t="shared" si="30"/>
        <v>0</v>
      </c>
      <c r="BD31" s="23">
        <f t="shared" si="31"/>
        <v>4.0389344262295079</v>
      </c>
    </row>
    <row r="32" spans="1:56">
      <c r="A32" s="1" t="s">
        <v>20</v>
      </c>
      <c r="B32" s="1" t="s">
        <v>53</v>
      </c>
      <c r="C32" s="1" t="s">
        <v>22</v>
      </c>
      <c r="D32" s="1" t="s">
        <v>54</v>
      </c>
      <c r="E32" s="51" t="s">
        <v>107</v>
      </c>
      <c r="F32" s="51" t="s">
        <v>108</v>
      </c>
      <c r="G32" s="51" t="s">
        <v>109</v>
      </c>
      <c r="H32" s="1" t="s">
        <v>146</v>
      </c>
      <c r="I32" s="1" t="s">
        <v>147</v>
      </c>
      <c r="J32" s="51" t="s">
        <v>148</v>
      </c>
      <c r="K32" s="51" t="s">
        <v>112</v>
      </c>
      <c r="L32" s="51" t="s">
        <v>112</v>
      </c>
      <c r="M32" s="1">
        <v>1972540</v>
      </c>
      <c r="N32" s="50" t="s">
        <v>999</v>
      </c>
      <c r="O32" s="55">
        <f>DATE(2014,8,4)</f>
        <v>41855</v>
      </c>
      <c r="P32" s="55">
        <f>DATE(2015,12,15)</f>
        <v>42353</v>
      </c>
      <c r="Q32" s="51">
        <v>1335</v>
      </c>
      <c r="S32" s="51">
        <v>2.5</v>
      </c>
      <c r="U32" s="1">
        <f t="shared" si="2"/>
        <v>499</v>
      </c>
      <c r="V32" s="31">
        <f t="shared" si="3"/>
        <v>2.6753507014028055</v>
      </c>
      <c r="W32" s="31">
        <f t="shared" si="4"/>
        <v>976.503006012024</v>
      </c>
      <c r="X32" s="31">
        <f t="shared" si="5"/>
        <v>1.2206287575150301</v>
      </c>
      <c r="AA32" s="32">
        <f t="shared" si="6"/>
        <v>42552</v>
      </c>
      <c r="AB32" s="32">
        <f t="shared" si="7"/>
        <v>42735</v>
      </c>
      <c r="AC32" s="50">
        <v>27</v>
      </c>
      <c r="AD32" s="1">
        <f t="shared" si="8"/>
        <v>0</v>
      </c>
      <c r="AE32" s="1">
        <f t="shared" si="9"/>
        <v>0</v>
      </c>
      <c r="AF32" s="1">
        <f t="shared" si="10"/>
        <v>0</v>
      </c>
      <c r="AG32" s="1">
        <f t="shared" si="11"/>
        <v>0</v>
      </c>
      <c r="AH32" s="1">
        <f t="shared" si="12"/>
        <v>92</v>
      </c>
      <c r="AI32" s="23">
        <f t="shared" si="13"/>
        <v>0.5</v>
      </c>
      <c r="AJ32" s="23">
        <f t="shared" si="14"/>
        <v>0.61031437875751504</v>
      </c>
      <c r="AK32" s="23">
        <f t="shared" si="15"/>
        <v>8.2392441132264533</v>
      </c>
      <c r="AL32" s="23">
        <f t="shared" si="16"/>
        <v>20.598110283066134</v>
      </c>
      <c r="AM32" s="23">
        <f t="shared" si="17"/>
        <v>10.299055141533067</v>
      </c>
      <c r="AN32" s="23">
        <f t="shared" si="18"/>
        <v>30.897165424599201</v>
      </c>
      <c r="AQ32" s="32">
        <f t="shared" si="19"/>
        <v>42736</v>
      </c>
      <c r="AR32" s="32">
        <f t="shared" si="20"/>
        <v>42916</v>
      </c>
      <c r="AS32" s="50">
        <v>7</v>
      </c>
      <c r="AT32" s="1">
        <f t="shared" si="21"/>
        <v>0</v>
      </c>
      <c r="AU32" s="1">
        <f t="shared" si="22"/>
        <v>0</v>
      </c>
      <c r="AV32" s="1">
        <f t="shared" si="23"/>
        <v>0</v>
      </c>
      <c r="AW32" s="1">
        <f t="shared" si="24"/>
        <v>0</v>
      </c>
      <c r="AX32" s="1">
        <f t="shared" si="25"/>
        <v>90.5</v>
      </c>
      <c r="AY32" s="23">
        <f t="shared" si="26"/>
        <v>0.5</v>
      </c>
      <c r="AZ32" s="23">
        <f t="shared" si="27"/>
        <v>0.61031437875751504</v>
      </c>
      <c r="BA32" s="23">
        <f t="shared" si="28"/>
        <v>2.1361003256513027</v>
      </c>
      <c r="BB32" s="23">
        <f t="shared" si="29"/>
        <v>5.3402508141282565</v>
      </c>
      <c r="BC32" s="23">
        <f t="shared" si="30"/>
        <v>2.6701254070641283</v>
      </c>
      <c r="BD32" s="23">
        <f t="shared" si="31"/>
        <v>8.0103762211923843</v>
      </c>
    </row>
    <row r="33" spans="1:56">
      <c r="A33" s="1" t="s">
        <v>20</v>
      </c>
      <c r="B33" s="1" t="s">
        <v>53</v>
      </c>
      <c r="C33" s="1" t="s">
        <v>22</v>
      </c>
      <c r="D33" s="1" t="s">
        <v>54</v>
      </c>
      <c r="E33" s="51" t="s">
        <v>107</v>
      </c>
      <c r="F33" s="51" t="s">
        <v>108</v>
      </c>
      <c r="G33" s="51" t="s">
        <v>109</v>
      </c>
      <c r="H33" s="1" t="s">
        <v>618</v>
      </c>
      <c r="I33" s="1" t="s">
        <v>214</v>
      </c>
      <c r="J33" s="51" t="s">
        <v>112</v>
      </c>
      <c r="K33" s="51" t="s">
        <v>112</v>
      </c>
      <c r="L33" s="51" t="s">
        <v>112</v>
      </c>
      <c r="M33" s="1">
        <v>1972541</v>
      </c>
      <c r="N33" s="50" t="s">
        <v>1000</v>
      </c>
      <c r="O33" s="55">
        <f>DATE(2014,8,4)</f>
        <v>41855</v>
      </c>
      <c r="P33" s="55">
        <f>DATE(2015,12,15)</f>
        <v>42353</v>
      </c>
      <c r="Q33" s="51">
        <v>1125</v>
      </c>
      <c r="S33" s="51">
        <v>2</v>
      </c>
      <c r="U33" s="1">
        <f t="shared" si="2"/>
        <v>499</v>
      </c>
      <c r="V33" s="31">
        <f t="shared" si="3"/>
        <v>2.2545090180360723</v>
      </c>
      <c r="W33" s="31">
        <f t="shared" si="4"/>
        <v>822.89579158316633</v>
      </c>
      <c r="X33" s="31">
        <f t="shared" si="5"/>
        <v>1.028619739478958</v>
      </c>
      <c r="AA33" s="32">
        <f t="shared" si="6"/>
        <v>42552</v>
      </c>
      <c r="AB33" s="32">
        <f t="shared" si="7"/>
        <v>42735</v>
      </c>
      <c r="AC33" s="50">
        <v>35</v>
      </c>
      <c r="AD33" s="1">
        <f t="shared" si="8"/>
        <v>0</v>
      </c>
      <c r="AE33" s="1">
        <f t="shared" si="9"/>
        <v>0</v>
      </c>
      <c r="AF33" s="1">
        <f t="shared" si="10"/>
        <v>0</v>
      </c>
      <c r="AG33" s="1">
        <f t="shared" si="11"/>
        <v>0</v>
      </c>
      <c r="AH33" s="1">
        <f t="shared" si="12"/>
        <v>92</v>
      </c>
      <c r="AI33" s="23">
        <f t="shared" si="13"/>
        <v>0.5</v>
      </c>
      <c r="AJ33" s="23">
        <f t="shared" si="14"/>
        <v>0.51430986973947901</v>
      </c>
      <c r="AK33" s="23">
        <f t="shared" si="15"/>
        <v>9.0004227204408824</v>
      </c>
      <c r="AL33" s="23">
        <f t="shared" si="16"/>
        <v>18.000845440881765</v>
      </c>
      <c r="AM33" s="23">
        <f t="shared" si="17"/>
        <v>0</v>
      </c>
      <c r="AN33" s="23">
        <f t="shared" si="18"/>
        <v>18.000845440881765</v>
      </c>
      <c r="AQ33" s="32">
        <f t="shared" si="19"/>
        <v>42736</v>
      </c>
      <c r="AR33" s="32">
        <f t="shared" si="20"/>
        <v>42916</v>
      </c>
      <c r="AS33" s="50">
        <v>7</v>
      </c>
      <c r="AT33" s="1">
        <f t="shared" si="21"/>
        <v>0</v>
      </c>
      <c r="AU33" s="1">
        <f t="shared" si="22"/>
        <v>0</v>
      </c>
      <c r="AV33" s="1">
        <f t="shared" si="23"/>
        <v>0</v>
      </c>
      <c r="AW33" s="1">
        <f t="shared" si="24"/>
        <v>0</v>
      </c>
      <c r="AX33" s="1">
        <f t="shared" si="25"/>
        <v>90.5</v>
      </c>
      <c r="AY33" s="23">
        <f t="shared" si="26"/>
        <v>0.5</v>
      </c>
      <c r="AZ33" s="23">
        <f t="shared" si="27"/>
        <v>0.51430986973947901</v>
      </c>
      <c r="BA33" s="23">
        <f t="shared" si="28"/>
        <v>1.8000845440881765</v>
      </c>
      <c r="BB33" s="23">
        <f t="shared" si="29"/>
        <v>3.6001690881763531</v>
      </c>
      <c r="BC33" s="23">
        <f t="shared" si="30"/>
        <v>0</v>
      </c>
      <c r="BD33" s="23">
        <f t="shared" si="31"/>
        <v>3.6001690881763531</v>
      </c>
    </row>
    <row r="34" spans="1:56">
      <c r="A34" s="1" t="s">
        <v>20</v>
      </c>
      <c r="B34" s="1" t="s">
        <v>53</v>
      </c>
      <c r="C34" s="1" t="s">
        <v>22</v>
      </c>
      <c r="D34" s="1" t="s">
        <v>54</v>
      </c>
      <c r="E34" s="51" t="s">
        <v>107</v>
      </c>
      <c r="F34" s="51" t="s">
        <v>108</v>
      </c>
      <c r="G34" s="51" t="s">
        <v>109</v>
      </c>
      <c r="H34" s="1" t="s">
        <v>642</v>
      </c>
      <c r="I34" s="1" t="s">
        <v>147</v>
      </c>
      <c r="J34" s="51" t="s">
        <v>148</v>
      </c>
      <c r="K34" s="51" t="s">
        <v>112</v>
      </c>
      <c r="L34" s="51" t="s">
        <v>112</v>
      </c>
      <c r="M34" s="1">
        <v>1978006</v>
      </c>
      <c r="N34" s="51" t="s">
        <v>1001</v>
      </c>
      <c r="O34" s="55">
        <f>DATE(2014,2,5)</f>
        <v>41675</v>
      </c>
      <c r="P34" s="55">
        <f>DATE(2017,6,30)</f>
        <v>42916</v>
      </c>
      <c r="Q34" s="51">
        <v>3855</v>
      </c>
      <c r="S34" s="51">
        <v>2.5</v>
      </c>
      <c r="U34" s="1">
        <f t="shared" si="2"/>
        <v>1242</v>
      </c>
      <c r="V34" s="31">
        <f t="shared" si="3"/>
        <v>3.1038647342995169</v>
      </c>
      <c r="W34" s="31">
        <f t="shared" si="4"/>
        <v>1132.9106280193237</v>
      </c>
      <c r="X34" s="31">
        <f t="shared" si="5"/>
        <v>1.4161382850241546</v>
      </c>
      <c r="AA34" s="32">
        <f t="shared" si="6"/>
        <v>42552</v>
      </c>
      <c r="AB34" s="32">
        <f t="shared" si="7"/>
        <v>42735</v>
      </c>
      <c r="AC34" s="51">
        <v>29</v>
      </c>
      <c r="AD34" s="1">
        <f t="shared" si="8"/>
        <v>184</v>
      </c>
      <c r="AE34" s="1">
        <f t="shared" si="9"/>
        <v>0</v>
      </c>
      <c r="AF34" s="1">
        <f t="shared" si="10"/>
        <v>0</v>
      </c>
      <c r="AG34" s="1">
        <f t="shared" si="11"/>
        <v>0</v>
      </c>
      <c r="AH34" s="1">
        <f t="shared" si="12"/>
        <v>0</v>
      </c>
      <c r="AI34" s="23">
        <f t="shared" si="13"/>
        <v>1</v>
      </c>
      <c r="AJ34" s="23">
        <f t="shared" si="14"/>
        <v>1.4161382850241546</v>
      </c>
      <c r="AK34" s="23">
        <f t="shared" si="15"/>
        <v>41.068010265700487</v>
      </c>
      <c r="AL34" s="23">
        <f t="shared" si="16"/>
        <v>102.67002566425121</v>
      </c>
      <c r="AM34" s="23">
        <f t="shared" si="17"/>
        <v>51.335012832125607</v>
      </c>
      <c r="AN34" s="23">
        <f t="shared" si="18"/>
        <v>154.00503849637681</v>
      </c>
      <c r="AQ34" s="32">
        <f t="shared" si="19"/>
        <v>42736</v>
      </c>
      <c r="AR34" s="32">
        <f t="shared" si="20"/>
        <v>42916</v>
      </c>
      <c r="AS34" s="51">
        <v>29</v>
      </c>
      <c r="AT34" s="1">
        <f t="shared" si="21"/>
        <v>0</v>
      </c>
      <c r="AU34" s="1">
        <f t="shared" si="22"/>
        <v>0</v>
      </c>
      <c r="AV34" s="1">
        <f t="shared" si="23"/>
        <v>181</v>
      </c>
      <c r="AW34" s="1">
        <f t="shared" si="24"/>
        <v>0</v>
      </c>
      <c r="AX34" s="1">
        <f t="shared" si="25"/>
        <v>0</v>
      </c>
      <c r="AY34" s="23">
        <f t="shared" si="26"/>
        <v>1</v>
      </c>
      <c r="AZ34" s="23">
        <f t="shared" si="27"/>
        <v>1.4161382850241546</v>
      </c>
      <c r="BA34" s="23">
        <f t="shared" si="28"/>
        <v>41.068010265700487</v>
      </c>
      <c r="BB34" s="23">
        <f t="shared" si="29"/>
        <v>102.67002566425121</v>
      </c>
      <c r="BC34" s="23">
        <f t="shared" si="30"/>
        <v>51.335012832125607</v>
      </c>
      <c r="BD34" s="23">
        <f t="shared" si="31"/>
        <v>154.00503849637681</v>
      </c>
    </row>
    <row r="35" spans="1:56">
      <c r="A35" s="1" t="s">
        <v>20</v>
      </c>
      <c r="B35" s="1" t="s">
        <v>53</v>
      </c>
      <c r="C35" s="1" t="s">
        <v>22</v>
      </c>
      <c r="D35" s="1" t="s">
        <v>54</v>
      </c>
      <c r="E35" s="51" t="s">
        <v>154</v>
      </c>
      <c r="F35" s="51" t="s">
        <v>108</v>
      </c>
      <c r="G35" s="51" t="s">
        <v>109</v>
      </c>
      <c r="H35" s="1" t="s">
        <v>179</v>
      </c>
      <c r="I35" s="1" t="s">
        <v>125</v>
      </c>
      <c r="J35" s="51" t="s">
        <v>112</v>
      </c>
      <c r="K35" s="51" t="s">
        <v>112</v>
      </c>
      <c r="L35" s="51" t="s">
        <v>148</v>
      </c>
      <c r="M35" s="1">
        <v>1978075</v>
      </c>
      <c r="N35" s="50" t="s">
        <v>1002</v>
      </c>
      <c r="O35" s="55">
        <f>DATE(2011,8,1)</f>
        <v>40756</v>
      </c>
      <c r="P35" s="55">
        <f>DATE(2014,12,31)</f>
        <v>42004</v>
      </c>
      <c r="Q35" s="51">
        <v>1200</v>
      </c>
      <c r="S35" s="51">
        <v>2</v>
      </c>
      <c r="U35" s="1">
        <f t="shared" si="2"/>
        <v>1249</v>
      </c>
      <c r="V35" s="31">
        <f t="shared" si="3"/>
        <v>0.96076861489191356</v>
      </c>
      <c r="W35" s="31">
        <f t="shared" si="4"/>
        <v>350.68054443554843</v>
      </c>
      <c r="X35" s="31">
        <f t="shared" si="5"/>
        <v>0.43835068054443554</v>
      </c>
      <c r="AA35" s="32">
        <f t="shared" si="6"/>
        <v>42552</v>
      </c>
      <c r="AB35" s="32">
        <f t="shared" si="7"/>
        <v>42735</v>
      </c>
      <c r="AC35" s="50">
        <v>51</v>
      </c>
      <c r="AD35" s="1">
        <f t="shared" si="8"/>
        <v>0</v>
      </c>
      <c r="AE35" s="1">
        <f t="shared" si="9"/>
        <v>0</v>
      </c>
      <c r="AF35" s="1">
        <f t="shared" si="10"/>
        <v>0</v>
      </c>
      <c r="AG35" s="1">
        <f t="shared" si="11"/>
        <v>0</v>
      </c>
      <c r="AH35" s="1">
        <f t="shared" si="12"/>
        <v>92</v>
      </c>
      <c r="AI35" s="23">
        <f t="shared" si="13"/>
        <v>0.5</v>
      </c>
      <c r="AJ35" s="23">
        <f t="shared" si="14"/>
        <v>0.21917534027221777</v>
      </c>
      <c r="AK35" s="23">
        <f t="shared" si="15"/>
        <v>5.5889711769415529</v>
      </c>
      <c r="AL35" s="23">
        <f t="shared" si="16"/>
        <v>11.177942353883106</v>
      </c>
      <c r="AM35" s="23">
        <f t="shared" si="17"/>
        <v>0</v>
      </c>
      <c r="AN35" s="23">
        <f t="shared" si="18"/>
        <v>11.177942353883106</v>
      </c>
      <c r="AQ35" s="32">
        <f t="shared" si="19"/>
        <v>42736</v>
      </c>
      <c r="AR35" s="32">
        <f t="shared" si="20"/>
        <v>42916</v>
      </c>
      <c r="AS35" s="57">
        <v>10</v>
      </c>
      <c r="AT35" s="1">
        <f t="shared" si="21"/>
        <v>0</v>
      </c>
      <c r="AU35" s="1">
        <f t="shared" si="22"/>
        <v>0</v>
      </c>
      <c r="AV35" s="1">
        <f t="shared" si="23"/>
        <v>0</v>
      </c>
      <c r="AW35" s="1">
        <f t="shared" si="24"/>
        <v>0</v>
      </c>
      <c r="AX35" s="1">
        <f t="shared" si="25"/>
        <v>90.5</v>
      </c>
      <c r="AY35" s="23">
        <f t="shared" si="26"/>
        <v>0.5</v>
      </c>
      <c r="AZ35" s="23">
        <f t="shared" si="27"/>
        <v>0.21917534027221777</v>
      </c>
      <c r="BA35" s="23">
        <f t="shared" si="28"/>
        <v>1.0958767013610888</v>
      </c>
      <c r="BB35" s="23">
        <f t="shared" si="29"/>
        <v>2.1917534027221777</v>
      </c>
      <c r="BC35" s="23">
        <f t="shared" si="30"/>
        <v>0</v>
      </c>
      <c r="BD35" s="23">
        <f t="shared" si="31"/>
        <v>2.1917534027221777</v>
      </c>
    </row>
    <row r="36" spans="1:56">
      <c r="A36" s="1" t="s">
        <v>20</v>
      </c>
      <c r="B36" s="1" t="s">
        <v>53</v>
      </c>
      <c r="C36" s="1" t="s">
        <v>22</v>
      </c>
      <c r="D36" s="1" t="s">
        <v>54</v>
      </c>
      <c r="E36" s="51" t="s">
        <v>107</v>
      </c>
      <c r="F36" s="51" t="s">
        <v>108</v>
      </c>
      <c r="G36" s="51" t="s">
        <v>109</v>
      </c>
      <c r="H36" s="1" t="s">
        <v>124</v>
      </c>
      <c r="I36" s="1" t="s">
        <v>125</v>
      </c>
      <c r="J36" s="51" t="s">
        <v>112</v>
      </c>
      <c r="K36" s="51" t="s">
        <v>112</v>
      </c>
      <c r="L36" s="51" t="s">
        <v>112</v>
      </c>
      <c r="M36" s="1">
        <v>1978107</v>
      </c>
      <c r="N36" s="51" t="s">
        <v>1003</v>
      </c>
      <c r="O36" s="55">
        <f>DATE(2014,2,5)</f>
        <v>41675</v>
      </c>
      <c r="P36" s="55">
        <f>DATE(2017,6,30)</f>
        <v>42916</v>
      </c>
      <c r="Q36" s="51">
        <v>3855</v>
      </c>
      <c r="S36" s="51">
        <v>2.5</v>
      </c>
      <c r="U36" s="1">
        <f t="shared" ref="U36:U53" si="33">P36-O36+1</f>
        <v>1242</v>
      </c>
      <c r="V36" s="31">
        <f t="shared" ref="V36:V53" si="34">Q36/U36</f>
        <v>3.1038647342995169</v>
      </c>
      <c r="W36" s="31">
        <f t="shared" ref="W36:W53" si="35">IF(U36&gt;365,V36*365,Q36)</f>
        <v>1132.9106280193237</v>
      </c>
      <c r="X36" s="31">
        <f t="shared" ref="X36:X53" si="36">IF(U36&gt;365,W36/800,Q36/800)</f>
        <v>1.4161382850241546</v>
      </c>
      <c r="AA36" s="32">
        <f t="shared" ref="AA36:AA53" si="37">DATE(2016,7,1)</f>
        <v>42552</v>
      </c>
      <c r="AB36" s="32">
        <f t="shared" ref="AB36:AB53" si="38">DATE(2016,12,31)</f>
        <v>42735</v>
      </c>
      <c r="AC36" s="51">
        <v>32</v>
      </c>
      <c r="AD36" s="1">
        <f t="shared" ref="AD36:AD53" si="39">IF(AND(O36&lt;AA36,P36&gt;AB36),AB36-AA36+1,0)</f>
        <v>184</v>
      </c>
      <c r="AE36" s="1">
        <f t="shared" ref="AE36:AE53" si="40">IF(AND(O36&gt;=AA36,P36&gt;AB36,O36&lt;AB36),AB36-O36+1,0)</f>
        <v>0</v>
      </c>
      <c r="AF36" s="1">
        <f t="shared" ref="AF36:AF53" si="41">IF(AND(O36&lt;AA36,P36&lt;=AB36,P36&gt;=AA36),P36-AA36+1,0)</f>
        <v>0</v>
      </c>
      <c r="AG36" s="1">
        <f t="shared" ref="AG36:AG53" si="42">IF(AND(O36&gt;=AA36,P36&lt;=AB36),P36-O36+1,0)</f>
        <v>0</v>
      </c>
      <c r="AH36" s="1">
        <f t="shared" ref="AH36:AH53" si="43">IF(AND(O36&lt;AA36,P36&lt;AA36),(AB36-AA36+1)/2,0)</f>
        <v>0</v>
      </c>
      <c r="AI36" s="23">
        <f t="shared" ref="AI36:AI53" si="44">SUM(AD36:AH36)/(AB36-AA36+1)</f>
        <v>1</v>
      </c>
      <c r="AJ36" s="23">
        <f t="shared" ref="AJ36:AJ53" si="45">X36*AI36</f>
        <v>1.4161382850241546</v>
      </c>
      <c r="AK36" s="23">
        <f t="shared" ref="AK36:AK53" si="46">IF(AH36=0,AJ36*AC36,IF(AA36-P36&gt;1095,0,AJ36*(AC36/2)))</f>
        <v>45.316425120772948</v>
      </c>
      <c r="AL36" s="23">
        <f t="shared" ref="AL36:AL53" si="47">AK36*S36</f>
        <v>113.29106280193237</v>
      </c>
      <c r="AM36" s="23">
        <f t="shared" ref="AM36:AM53" si="48">IF(J36="SIM",AL36*50%,0)</f>
        <v>0</v>
      </c>
      <c r="AN36" s="23">
        <f t="shared" ref="AN36:AN53" si="49">AL36+AM36</f>
        <v>113.29106280193237</v>
      </c>
      <c r="AQ36" s="32">
        <f t="shared" ref="AQ36:AQ53" si="50">DATE(2017,1,1)</f>
        <v>42736</v>
      </c>
      <c r="AR36" s="32">
        <f t="shared" ref="AR36:AR53" si="51">DATE(2017,6,30)</f>
        <v>42916</v>
      </c>
      <c r="AS36" s="51">
        <v>32</v>
      </c>
      <c r="AT36" s="1">
        <f t="shared" ref="AT36:AT53" si="52">IF(AND(O36&lt;AQ36,P36&gt;AR36),AR36-AQ36+1,0)</f>
        <v>0</v>
      </c>
      <c r="AU36" s="1">
        <f t="shared" ref="AU36:AU53" si="53">IF(AND(O36&gt;=AQ36,P36&gt;AR36,O36&lt;AR36),AR36-O36+1,0)</f>
        <v>0</v>
      </c>
      <c r="AV36" s="1">
        <f t="shared" ref="AV36:AV53" si="54">IF(AND(O36&lt;AQ36,P36&lt;=AR36,P36&gt;=AQ36),P36-AQ36+1,0)</f>
        <v>181</v>
      </c>
      <c r="AW36" s="1">
        <f t="shared" ref="AW36:AW53" si="55">IF(AND(O36&gt;=AQ36,P36&lt;=AR36),P36-O36+1,0)</f>
        <v>0</v>
      </c>
      <c r="AX36" s="1">
        <f t="shared" ref="AX36:AX53" si="56">IF(AND(O36&lt;AQ36,P36&lt;AQ36),(AR36-AQ36+1)/2,0)</f>
        <v>0</v>
      </c>
      <c r="AY36" s="23">
        <f t="shared" ref="AY36:AY53" si="57">SUM(AT36:AX36)/(AR36-AQ36+1)</f>
        <v>1</v>
      </c>
      <c r="AZ36" s="23">
        <f t="shared" ref="AZ36:AZ53" si="58">X36*AY36</f>
        <v>1.4161382850241546</v>
      </c>
      <c r="BA36" s="23">
        <f t="shared" ref="BA36:BA53" si="59">IF(AX36=0,AZ36*AS36,IF(AQ36-P36&gt;1095,0,AZ36*(AS36/2)))</f>
        <v>45.316425120772948</v>
      </c>
      <c r="BB36" s="23">
        <f t="shared" ref="BB36:BB53" si="60">BA36*S36</f>
        <v>113.29106280193237</v>
      </c>
      <c r="BC36" s="23">
        <f t="shared" ref="BC36:BC53" si="61">IF(J36="SIM",BB36*50%,0)</f>
        <v>0</v>
      </c>
      <c r="BD36" s="23">
        <f t="shared" ref="BD36:BD53" si="62">BB36+BC36</f>
        <v>113.29106280193237</v>
      </c>
    </row>
    <row r="37" spans="1:56">
      <c r="A37" s="1" t="s">
        <v>20</v>
      </c>
      <c r="B37" s="1" t="s">
        <v>53</v>
      </c>
      <c r="C37" s="1" t="s">
        <v>22</v>
      </c>
      <c r="D37" s="1" t="s">
        <v>54</v>
      </c>
      <c r="E37" s="51" t="s">
        <v>107</v>
      </c>
      <c r="F37" s="51" t="s">
        <v>108</v>
      </c>
      <c r="G37" s="51" t="s">
        <v>109</v>
      </c>
      <c r="H37" s="1" t="s">
        <v>110</v>
      </c>
      <c r="I37" s="1" t="s">
        <v>111</v>
      </c>
      <c r="J37" s="51" t="s">
        <v>112</v>
      </c>
      <c r="K37" s="51" t="s">
        <v>112</v>
      </c>
      <c r="L37" s="51" t="s">
        <v>112</v>
      </c>
      <c r="M37" s="1">
        <v>1978108</v>
      </c>
      <c r="N37" s="51" t="s">
        <v>1004</v>
      </c>
      <c r="O37" s="55">
        <f>DATE(2014,2,5)</f>
        <v>41675</v>
      </c>
      <c r="P37" s="55">
        <f>DATE(2017,6,30)</f>
        <v>42916</v>
      </c>
      <c r="Q37" s="51">
        <v>3720</v>
      </c>
      <c r="S37" s="51">
        <v>2</v>
      </c>
      <c r="U37" s="1">
        <f t="shared" si="33"/>
        <v>1242</v>
      </c>
      <c r="V37" s="31">
        <f t="shared" si="34"/>
        <v>2.9951690821256038</v>
      </c>
      <c r="W37" s="31">
        <f t="shared" si="35"/>
        <v>1093.2367149758454</v>
      </c>
      <c r="X37" s="31">
        <f t="shared" si="36"/>
        <v>1.3665458937198067</v>
      </c>
      <c r="AA37" s="32">
        <f t="shared" si="37"/>
        <v>42552</v>
      </c>
      <c r="AB37" s="32">
        <f t="shared" si="38"/>
        <v>42735</v>
      </c>
      <c r="AC37" s="51">
        <v>26</v>
      </c>
      <c r="AD37" s="1">
        <f t="shared" si="39"/>
        <v>184</v>
      </c>
      <c r="AE37" s="1">
        <f t="shared" si="40"/>
        <v>0</v>
      </c>
      <c r="AF37" s="1">
        <f t="shared" si="41"/>
        <v>0</v>
      </c>
      <c r="AG37" s="1">
        <f t="shared" si="42"/>
        <v>0</v>
      </c>
      <c r="AH37" s="1">
        <f t="shared" si="43"/>
        <v>0</v>
      </c>
      <c r="AI37" s="23">
        <f t="shared" si="44"/>
        <v>1</v>
      </c>
      <c r="AJ37" s="23">
        <f t="shared" si="45"/>
        <v>1.3665458937198067</v>
      </c>
      <c r="AK37" s="23">
        <f t="shared" si="46"/>
        <v>35.530193236714972</v>
      </c>
      <c r="AL37" s="23">
        <f t="shared" si="47"/>
        <v>71.060386473429944</v>
      </c>
      <c r="AM37" s="23">
        <f t="shared" si="48"/>
        <v>0</v>
      </c>
      <c r="AN37" s="23">
        <f t="shared" si="49"/>
        <v>71.060386473429944</v>
      </c>
      <c r="AQ37" s="32">
        <f t="shared" si="50"/>
        <v>42736</v>
      </c>
      <c r="AR37" s="32">
        <f t="shared" si="51"/>
        <v>42916</v>
      </c>
      <c r="AS37" s="51">
        <v>26</v>
      </c>
      <c r="AT37" s="1">
        <f t="shared" si="52"/>
        <v>0</v>
      </c>
      <c r="AU37" s="1">
        <f t="shared" si="53"/>
        <v>0</v>
      </c>
      <c r="AV37" s="1">
        <f t="shared" si="54"/>
        <v>181</v>
      </c>
      <c r="AW37" s="1">
        <f t="shared" si="55"/>
        <v>0</v>
      </c>
      <c r="AX37" s="1">
        <f t="shared" si="56"/>
        <v>0</v>
      </c>
      <c r="AY37" s="23">
        <f t="shared" si="57"/>
        <v>1</v>
      </c>
      <c r="AZ37" s="23">
        <f t="shared" si="58"/>
        <v>1.3665458937198067</v>
      </c>
      <c r="BA37" s="23">
        <f t="shared" si="59"/>
        <v>35.530193236714972</v>
      </c>
      <c r="BB37" s="23">
        <f t="shared" si="60"/>
        <v>71.060386473429944</v>
      </c>
      <c r="BC37" s="23">
        <f t="shared" si="61"/>
        <v>0</v>
      </c>
      <c r="BD37" s="23">
        <f t="shared" si="62"/>
        <v>71.060386473429944</v>
      </c>
    </row>
    <row r="38" spans="1:56">
      <c r="A38" s="1" t="s">
        <v>20</v>
      </c>
      <c r="B38" s="1" t="s">
        <v>53</v>
      </c>
      <c r="C38" s="1" t="s">
        <v>22</v>
      </c>
      <c r="D38" s="1" t="s">
        <v>54</v>
      </c>
      <c r="E38" s="51" t="s">
        <v>107</v>
      </c>
      <c r="F38" s="51" t="s">
        <v>108</v>
      </c>
      <c r="G38" s="51" t="s">
        <v>109</v>
      </c>
      <c r="H38" s="1" t="s">
        <v>642</v>
      </c>
      <c r="I38" s="1" t="s">
        <v>147</v>
      </c>
      <c r="J38" s="51" t="s">
        <v>148</v>
      </c>
      <c r="K38" s="51" t="s">
        <v>112</v>
      </c>
      <c r="L38" s="51" t="s">
        <v>112</v>
      </c>
      <c r="M38" s="1">
        <v>1980856</v>
      </c>
      <c r="N38" s="52" t="s">
        <v>1005</v>
      </c>
      <c r="O38" s="55">
        <f>DATE(2015,3,5)</f>
        <v>42068</v>
      </c>
      <c r="P38" s="55">
        <f>DATE(2018,6,29)</f>
        <v>43280</v>
      </c>
      <c r="Q38" s="51">
        <v>3855</v>
      </c>
      <c r="S38" s="51">
        <v>2.5</v>
      </c>
      <c r="U38" s="1">
        <f t="shared" si="33"/>
        <v>1213</v>
      </c>
      <c r="V38" s="31">
        <f t="shared" si="34"/>
        <v>3.178070898598516</v>
      </c>
      <c r="W38" s="31">
        <f t="shared" si="35"/>
        <v>1159.9958779884582</v>
      </c>
      <c r="X38" s="31">
        <f t="shared" si="36"/>
        <v>1.4499948474855728</v>
      </c>
      <c r="AA38" s="32">
        <f t="shared" si="37"/>
        <v>42552</v>
      </c>
      <c r="AB38" s="32">
        <f t="shared" si="38"/>
        <v>42735</v>
      </c>
      <c r="AC38" s="52">
        <v>30</v>
      </c>
      <c r="AD38" s="1">
        <f t="shared" si="39"/>
        <v>184</v>
      </c>
      <c r="AE38" s="1">
        <f t="shared" si="40"/>
        <v>0</v>
      </c>
      <c r="AF38" s="1">
        <f t="shared" si="41"/>
        <v>0</v>
      </c>
      <c r="AG38" s="1">
        <f t="shared" si="42"/>
        <v>0</v>
      </c>
      <c r="AH38" s="1">
        <f t="shared" si="43"/>
        <v>0</v>
      </c>
      <c r="AI38" s="23">
        <f t="shared" si="44"/>
        <v>1</v>
      </c>
      <c r="AJ38" s="23">
        <f t="shared" si="45"/>
        <v>1.4499948474855728</v>
      </c>
      <c r="AK38" s="23">
        <f t="shared" si="46"/>
        <v>43.499845424567184</v>
      </c>
      <c r="AL38" s="23">
        <f t="shared" si="47"/>
        <v>108.74961356141796</v>
      </c>
      <c r="AM38" s="23">
        <f t="shared" si="48"/>
        <v>54.37480678070898</v>
      </c>
      <c r="AN38" s="23">
        <f t="shared" si="49"/>
        <v>163.12442034212694</v>
      </c>
      <c r="AQ38" s="32">
        <f t="shared" si="50"/>
        <v>42736</v>
      </c>
      <c r="AR38" s="32">
        <f t="shared" si="51"/>
        <v>42916</v>
      </c>
      <c r="AS38" s="52">
        <v>30</v>
      </c>
      <c r="AT38" s="1">
        <f t="shared" si="52"/>
        <v>181</v>
      </c>
      <c r="AU38" s="1">
        <f t="shared" si="53"/>
        <v>0</v>
      </c>
      <c r="AV38" s="1">
        <f t="shared" si="54"/>
        <v>0</v>
      </c>
      <c r="AW38" s="1">
        <f t="shared" si="55"/>
        <v>0</v>
      </c>
      <c r="AX38" s="1">
        <f t="shared" si="56"/>
        <v>0</v>
      </c>
      <c r="AY38" s="23">
        <f t="shared" si="57"/>
        <v>1</v>
      </c>
      <c r="AZ38" s="23">
        <f t="shared" si="58"/>
        <v>1.4499948474855728</v>
      </c>
      <c r="BA38" s="23">
        <f t="shared" si="59"/>
        <v>43.499845424567184</v>
      </c>
      <c r="BB38" s="23">
        <f t="shared" si="60"/>
        <v>108.74961356141796</v>
      </c>
      <c r="BC38" s="23">
        <f t="shared" si="61"/>
        <v>54.37480678070898</v>
      </c>
      <c r="BD38" s="23">
        <f t="shared" si="62"/>
        <v>163.12442034212694</v>
      </c>
    </row>
    <row r="39" spans="1:56">
      <c r="A39" s="1" t="s">
        <v>20</v>
      </c>
      <c r="B39" s="1" t="s">
        <v>53</v>
      </c>
      <c r="C39" s="1" t="s">
        <v>22</v>
      </c>
      <c r="D39" s="1" t="s">
        <v>54</v>
      </c>
      <c r="E39" s="51" t="s">
        <v>107</v>
      </c>
      <c r="F39" s="51" t="s">
        <v>108</v>
      </c>
      <c r="G39" s="51" t="s">
        <v>109</v>
      </c>
      <c r="H39" s="1" t="s">
        <v>124</v>
      </c>
      <c r="I39" s="1" t="s">
        <v>125</v>
      </c>
      <c r="J39" s="51" t="s">
        <v>112</v>
      </c>
      <c r="K39" s="51" t="s">
        <v>112</v>
      </c>
      <c r="L39" s="51" t="s">
        <v>112</v>
      </c>
      <c r="M39" s="1">
        <v>1980858</v>
      </c>
      <c r="N39" s="52" t="s">
        <v>1006</v>
      </c>
      <c r="O39" s="55">
        <f>DATE(2015,3,5)</f>
        <v>42068</v>
      </c>
      <c r="P39" s="55">
        <f>DATE(2018,6,29)</f>
        <v>43280</v>
      </c>
      <c r="Q39" s="51">
        <v>3855</v>
      </c>
      <c r="S39" s="51">
        <v>2.5</v>
      </c>
      <c r="U39" s="1">
        <f t="shared" si="33"/>
        <v>1213</v>
      </c>
      <c r="V39" s="31">
        <f t="shared" si="34"/>
        <v>3.178070898598516</v>
      </c>
      <c r="W39" s="31">
        <f t="shared" si="35"/>
        <v>1159.9958779884582</v>
      </c>
      <c r="X39" s="31">
        <f t="shared" si="36"/>
        <v>1.4499948474855728</v>
      </c>
      <c r="AA39" s="32">
        <f t="shared" si="37"/>
        <v>42552</v>
      </c>
      <c r="AB39" s="32">
        <f t="shared" si="38"/>
        <v>42735</v>
      </c>
      <c r="AC39" s="52">
        <v>33</v>
      </c>
      <c r="AD39" s="1">
        <f t="shared" si="39"/>
        <v>184</v>
      </c>
      <c r="AE39" s="1">
        <f t="shared" si="40"/>
        <v>0</v>
      </c>
      <c r="AF39" s="1">
        <f t="shared" si="41"/>
        <v>0</v>
      </c>
      <c r="AG39" s="1">
        <f t="shared" si="42"/>
        <v>0</v>
      </c>
      <c r="AH39" s="1">
        <f t="shared" si="43"/>
        <v>0</v>
      </c>
      <c r="AI39" s="23">
        <f t="shared" si="44"/>
        <v>1</v>
      </c>
      <c r="AJ39" s="23">
        <f t="shared" si="45"/>
        <v>1.4499948474855728</v>
      </c>
      <c r="AK39" s="23">
        <f t="shared" si="46"/>
        <v>47.849829967023901</v>
      </c>
      <c r="AL39" s="23">
        <f t="shared" si="47"/>
        <v>119.62457491755976</v>
      </c>
      <c r="AM39" s="23">
        <f t="shared" si="48"/>
        <v>0</v>
      </c>
      <c r="AN39" s="23">
        <f t="shared" si="49"/>
        <v>119.62457491755976</v>
      </c>
      <c r="AQ39" s="32">
        <f t="shared" si="50"/>
        <v>42736</v>
      </c>
      <c r="AR39" s="32">
        <f t="shared" si="51"/>
        <v>42916</v>
      </c>
      <c r="AS39" s="52">
        <v>33</v>
      </c>
      <c r="AT39" s="1">
        <f t="shared" si="52"/>
        <v>181</v>
      </c>
      <c r="AU39" s="1">
        <f t="shared" si="53"/>
        <v>0</v>
      </c>
      <c r="AV39" s="1">
        <f t="shared" si="54"/>
        <v>0</v>
      </c>
      <c r="AW39" s="1">
        <f t="shared" si="55"/>
        <v>0</v>
      </c>
      <c r="AX39" s="1">
        <f t="shared" si="56"/>
        <v>0</v>
      </c>
      <c r="AY39" s="23">
        <f t="shared" si="57"/>
        <v>1</v>
      </c>
      <c r="AZ39" s="23">
        <f t="shared" si="58"/>
        <v>1.4499948474855728</v>
      </c>
      <c r="BA39" s="23">
        <f t="shared" si="59"/>
        <v>47.849829967023901</v>
      </c>
      <c r="BB39" s="23">
        <f t="shared" si="60"/>
        <v>119.62457491755976</v>
      </c>
      <c r="BC39" s="23">
        <f t="shared" si="61"/>
        <v>0</v>
      </c>
      <c r="BD39" s="23">
        <f t="shared" si="62"/>
        <v>119.62457491755976</v>
      </c>
    </row>
    <row r="40" spans="1:56">
      <c r="A40" s="1" t="s">
        <v>20</v>
      </c>
      <c r="B40" s="1" t="s">
        <v>53</v>
      </c>
      <c r="C40" s="1" t="s">
        <v>22</v>
      </c>
      <c r="D40" s="1" t="s">
        <v>54</v>
      </c>
      <c r="E40" s="51" t="s">
        <v>107</v>
      </c>
      <c r="F40" s="51" t="s">
        <v>108</v>
      </c>
      <c r="G40" s="51" t="s">
        <v>109</v>
      </c>
      <c r="H40" s="1" t="s">
        <v>110</v>
      </c>
      <c r="I40" s="1" t="s">
        <v>111</v>
      </c>
      <c r="J40" s="51" t="s">
        <v>112</v>
      </c>
      <c r="K40" s="51" t="s">
        <v>112</v>
      </c>
      <c r="L40" s="51" t="s">
        <v>112</v>
      </c>
      <c r="M40" s="1">
        <v>1980861</v>
      </c>
      <c r="N40" s="52" t="s">
        <v>845</v>
      </c>
      <c r="O40" s="55">
        <f>DATE(2015,3,5)</f>
        <v>42068</v>
      </c>
      <c r="P40" s="55">
        <f>DATE(2018,6,29)</f>
        <v>43280</v>
      </c>
      <c r="Q40" s="51">
        <v>3720</v>
      </c>
      <c r="S40" s="51">
        <v>2</v>
      </c>
      <c r="U40" s="1">
        <f t="shared" si="33"/>
        <v>1213</v>
      </c>
      <c r="V40" s="31">
        <f t="shared" si="34"/>
        <v>3.0667765869744437</v>
      </c>
      <c r="W40" s="31">
        <f t="shared" si="35"/>
        <v>1119.3734542456718</v>
      </c>
      <c r="X40" s="31">
        <f t="shared" si="36"/>
        <v>1.3992168178070898</v>
      </c>
      <c r="AA40" s="32">
        <f t="shared" si="37"/>
        <v>42552</v>
      </c>
      <c r="AB40" s="32">
        <f t="shared" si="38"/>
        <v>42735</v>
      </c>
      <c r="AC40" s="52">
        <v>27</v>
      </c>
      <c r="AD40" s="1">
        <f t="shared" si="39"/>
        <v>184</v>
      </c>
      <c r="AE40" s="1">
        <f t="shared" si="40"/>
        <v>0</v>
      </c>
      <c r="AF40" s="1">
        <f t="shared" si="41"/>
        <v>0</v>
      </c>
      <c r="AG40" s="1">
        <f t="shared" si="42"/>
        <v>0</v>
      </c>
      <c r="AH40" s="1">
        <f t="shared" si="43"/>
        <v>0</v>
      </c>
      <c r="AI40" s="23">
        <f t="shared" si="44"/>
        <v>1</v>
      </c>
      <c r="AJ40" s="23">
        <f t="shared" si="45"/>
        <v>1.3992168178070898</v>
      </c>
      <c r="AK40" s="23">
        <f t="shared" si="46"/>
        <v>37.778854080791426</v>
      </c>
      <c r="AL40" s="23">
        <f t="shared" si="47"/>
        <v>75.557708161582852</v>
      </c>
      <c r="AM40" s="23">
        <f t="shared" si="48"/>
        <v>0</v>
      </c>
      <c r="AN40" s="23">
        <f t="shared" si="49"/>
        <v>75.557708161582852</v>
      </c>
      <c r="AQ40" s="32">
        <f t="shared" si="50"/>
        <v>42736</v>
      </c>
      <c r="AR40" s="32">
        <f t="shared" si="51"/>
        <v>42916</v>
      </c>
      <c r="AS40" s="52">
        <v>27</v>
      </c>
      <c r="AT40" s="1">
        <f t="shared" si="52"/>
        <v>181</v>
      </c>
      <c r="AU40" s="1">
        <f t="shared" si="53"/>
        <v>0</v>
      </c>
      <c r="AV40" s="1">
        <f t="shared" si="54"/>
        <v>0</v>
      </c>
      <c r="AW40" s="1">
        <f t="shared" si="55"/>
        <v>0</v>
      </c>
      <c r="AX40" s="1">
        <f t="shared" si="56"/>
        <v>0</v>
      </c>
      <c r="AY40" s="23">
        <f t="shared" si="57"/>
        <v>1</v>
      </c>
      <c r="AZ40" s="23">
        <f t="shared" si="58"/>
        <v>1.3992168178070898</v>
      </c>
      <c r="BA40" s="23">
        <f t="shared" si="59"/>
        <v>37.778854080791426</v>
      </c>
      <c r="BB40" s="23">
        <f t="shared" si="60"/>
        <v>75.557708161582852</v>
      </c>
      <c r="BC40" s="23">
        <f t="shared" si="61"/>
        <v>0</v>
      </c>
      <c r="BD40" s="23">
        <f t="shared" si="62"/>
        <v>75.557708161582852</v>
      </c>
    </row>
    <row r="41" spans="1:56">
      <c r="A41" s="1" t="s">
        <v>20</v>
      </c>
      <c r="B41" s="1" t="s">
        <v>53</v>
      </c>
      <c r="C41" s="1" t="s">
        <v>22</v>
      </c>
      <c r="D41" s="1" t="s">
        <v>54</v>
      </c>
      <c r="E41" s="51" t="s">
        <v>107</v>
      </c>
      <c r="F41" s="51" t="s">
        <v>108</v>
      </c>
      <c r="G41" s="51" t="s">
        <v>109</v>
      </c>
      <c r="H41" s="1" t="s">
        <v>124</v>
      </c>
      <c r="I41" s="1" t="s">
        <v>125</v>
      </c>
      <c r="J41" s="51" t="s">
        <v>112</v>
      </c>
      <c r="K41" s="51" t="s">
        <v>112</v>
      </c>
      <c r="L41" s="51" t="s">
        <v>112</v>
      </c>
      <c r="M41" s="1">
        <v>2023323</v>
      </c>
      <c r="N41" s="51" t="s">
        <v>1007</v>
      </c>
      <c r="O41" s="55">
        <f>DATE(2016,3,28)</f>
        <v>42457</v>
      </c>
      <c r="P41" s="55">
        <f>DATE(2017,12,22)</f>
        <v>43091</v>
      </c>
      <c r="Q41" s="51">
        <v>1515</v>
      </c>
      <c r="S41" s="51">
        <v>2.5</v>
      </c>
      <c r="U41" s="1">
        <f t="shared" si="33"/>
        <v>635</v>
      </c>
      <c r="V41" s="31">
        <f t="shared" si="34"/>
        <v>2.3858267716535435</v>
      </c>
      <c r="W41" s="31">
        <f t="shared" si="35"/>
        <v>870.82677165354335</v>
      </c>
      <c r="X41" s="31">
        <f t="shared" si="36"/>
        <v>1.0885334645669291</v>
      </c>
      <c r="AA41" s="32">
        <f t="shared" si="37"/>
        <v>42552</v>
      </c>
      <c r="AB41" s="32">
        <f t="shared" si="38"/>
        <v>42735</v>
      </c>
      <c r="AC41" s="51">
        <v>35</v>
      </c>
      <c r="AD41" s="1">
        <f t="shared" si="39"/>
        <v>184</v>
      </c>
      <c r="AE41" s="1">
        <f t="shared" si="40"/>
        <v>0</v>
      </c>
      <c r="AF41" s="1">
        <f t="shared" si="41"/>
        <v>0</v>
      </c>
      <c r="AG41" s="1">
        <f t="shared" si="42"/>
        <v>0</v>
      </c>
      <c r="AH41" s="1">
        <f t="shared" si="43"/>
        <v>0</v>
      </c>
      <c r="AI41" s="23">
        <f t="shared" si="44"/>
        <v>1</v>
      </c>
      <c r="AJ41" s="23">
        <f t="shared" si="45"/>
        <v>1.0885334645669291</v>
      </c>
      <c r="AK41" s="23">
        <f t="shared" si="46"/>
        <v>38.098671259842519</v>
      </c>
      <c r="AL41" s="23">
        <f t="shared" si="47"/>
        <v>95.246678149606296</v>
      </c>
      <c r="AM41" s="23">
        <f t="shared" si="48"/>
        <v>0</v>
      </c>
      <c r="AN41" s="23">
        <f t="shared" si="49"/>
        <v>95.246678149606296</v>
      </c>
      <c r="AQ41" s="32">
        <f t="shared" si="50"/>
        <v>42736</v>
      </c>
      <c r="AR41" s="32">
        <f t="shared" si="51"/>
        <v>42916</v>
      </c>
      <c r="AS41" s="51">
        <v>35</v>
      </c>
      <c r="AT41" s="1">
        <f t="shared" si="52"/>
        <v>181</v>
      </c>
      <c r="AU41" s="1">
        <f t="shared" si="53"/>
        <v>0</v>
      </c>
      <c r="AV41" s="1">
        <f t="shared" si="54"/>
        <v>0</v>
      </c>
      <c r="AW41" s="1">
        <f t="shared" si="55"/>
        <v>0</v>
      </c>
      <c r="AX41" s="1">
        <f t="shared" si="56"/>
        <v>0</v>
      </c>
      <c r="AY41" s="23">
        <f t="shared" si="57"/>
        <v>1</v>
      </c>
      <c r="AZ41" s="23">
        <f t="shared" si="58"/>
        <v>1.0885334645669291</v>
      </c>
      <c r="BA41" s="23">
        <f t="shared" si="59"/>
        <v>38.098671259842519</v>
      </c>
      <c r="BB41" s="23">
        <f t="shared" si="60"/>
        <v>95.246678149606296</v>
      </c>
      <c r="BC41" s="23">
        <f t="shared" si="61"/>
        <v>0</v>
      </c>
      <c r="BD41" s="23">
        <f t="shared" si="62"/>
        <v>95.246678149606296</v>
      </c>
    </row>
    <row r="42" spans="1:56">
      <c r="A42" s="1" t="s">
        <v>20</v>
      </c>
      <c r="B42" s="1" t="s">
        <v>53</v>
      </c>
      <c r="C42" s="1" t="s">
        <v>22</v>
      </c>
      <c r="D42" s="1" t="s">
        <v>54</v>
      </c>
      <c r="E42" s="51" t="s">
        <v>107</v>
      </c>
      <c r="F42" s="51" t="s">
        <v>108</v>
      </c>
      <c r="G42" s="51" t="s">
        <v>109</v>
      </c>
      <c r="H42" s="1" t="s">
        <v>124</v>
      </c>
      <c r="I42" s="1" t="s">
        <v>125</v>
      </c>
      <c r="J42" s="51" t="s">
        <v>112</v>
      </c>
      <c r="K42" s="51" t="s">
        <v>112</v>
      </c>
      <c r="L42" s="51" t="s">
        <v>112</v>
      </c>
      <c r="M42" s="1">
        <v>2023343</v>
      </c>
      <c r="N42" s="52" t="s">
        <v>848</v>
      </c>
      <c r="O42" s="55">
        <f>DATE(2016,3,28)</f>
        <v>42457</v>
      </c>
      <c r="P42" s="55">
        <f>DATE(2019,6,28)</f>
        <v>43644</v>
      </c>
      <c r="Q42" s="51">
        <v>3855</v>
      </c>
      <c r="S42" s="51">
        <v>2.5</v>
      </c>
      <c r="U42" s="1">
        <f t="shared" si="33"/>
        <v>1188</v>
      </c>
      <c r="V42" s="31">
        <f t="shared" si="34"/>
        <v>3.2449494949494948</v>
      </c>
      <c r="W42" s="31">
        <f t="shared" si="35"/>
        <v>1184.4065656565656</v>
      </c>
      <c r="X42" s="31">
        <f t="shared" si="36"/>
        <v>1.480508207070707</v>
      </c>
      <c r="AA42" s="32">
        <f t="shared" si="37"/>
        <v>42552</v>
      </c>
      <c r="AB42" s="32">
        <f t="shared" si="38"/>
        <v>42735</v>
      </c>
      <c r="AC42" s="52">
        <v>36</v>
      </c>
      <c r="AD42" s="1">
        <f t="shared" si="39"/>
        <v>184</v>
      </c>
      <c r="AE42" s="1">
        <f t="shared" si="40"/>
        <v>0</v>
      </c>
      <c r="AF42" s="1">
        <f t="shared" si="41"/>
        <v>0</v>
      </c>
      <c r="AG42" s="1">
        <f t="shared" si="42"/>
        <v>0</v>
      </c>
      <c r="AH42" s="1">
        <f t="shared" si="43"/>
        <v>0</v>
      </c>
      <c r="AI42" s="23">
        <f t="shared" si="44"/>
        <v>1</v>
      </c>
      <c r="AJ42" s="23">
        <f t="shared" si="45"/>
        <v>1.480508207070707</v>
      </c>
      <c r="AK42" s="23">
        <f t="shared" si="46"/>
        <v>53.298295454545453</v>
      </c>
      <c r="AL42" s="23">
        <f t="shared" si="47"/>
        <v>133.24573863636363</v>
      </c>
      <c r="AM42" s="23">
        <f t="shared" si="48"/>
        <v>0</v>
      </c>
      <c r="AN42" s="23">
        <f t="shared" si="49"/>
        <v>133.24573863636363</v>
      </c>
      <c r="AQ42" s="32">
        <f t="shared" si="50"/>
        <v>42736</v>
      </c>
      <c r="AR42" s="32">
        <f t="shared" si="51"/>
        <v>42916</v>
      </c>
      <c r="AS42" s="52">
        <v>36</v>
      </c>
      <c r="AT42" s="1">
        <f t="shared" si="52"/>
        <v>181</v>
      </c>
      <c r="AU42" s="1">
        <f t="shared" si="53"/>
        <v>0</v>
      </c>
      <c r="AV42" s="1">
        <f t="shared" si="54"/>
        <v>0</v>
      </c>
      <c r="AW42" s="1">
        <f t="shared" si="55"/>
        <v>0</v>
      </c>
      <c r="AX42" s="1">
        <f t="shared" si="56"/>
        <v>0</v>
      </c>
      <c r="AY42" s="23">
        <f t="shared" si="57"/>
        <v>1</v>
      </c>
      <c r="AZ42" s="23">
        <f t="shared" si="58"/>
        <v>1.480508207070707</v>
      </c>
      <c r="BA42" s="23">
        <f t="shared" si="59"/>
        <v>53.298295454545453</v>
      </c>
      <c r="BB42" s="23">
        <f t="shared" si="60"/>
        <v>133.24573863636363</v>
      </c>
      <c r="BC42" s="23">
        <f t="shared" si="61"/>
        <v>0</v>
      </c>
      <c r="BD42" s="23">
        <f t="shared" si="62"/>
        <v>133.24573863636363</v>
      </c>
    </row>
    <row r="43" spans="1:56">
      <c r="A43" s="1" t="s">
        <v>20</v>
      </c>
      <c r="B43" s="1" t="s">
        <v>53</v>
      </c>
      <c r="C43" s="1" t="s">
        <v>22</v>
      </c>
      <c r="D43" s="1" t="s">
        <v>54</v>
      </c>
      <c r="E43" s="51" t="s">
        <v>107</v>
      </c>
      <c r="F43" s="51" t="s">
        <v>108</v>
      </c>
      <c r="G43" s="51" t="s">
        <v>109</v>
      </c>
      <c r="H43" s="1" t="s">
        <v>179</v>
      </c>
      <c r="I43" s="1" t="s">
        <v>125</v>
      </c>
      <c r="J43" s="51" t="s">
        <v>112</v>
      </c>
      <c r="K43" s="51" t="s">
        <v>112</v>
      </c>
      <c r="L43" s="51" t="s">
        <v>112</v>
      </c>
      <c r="M43" s="1">
        <v>2023352</v>
      </c>
      <c r="N43" s="51" t="s">
        <v>1008</v>
      </c>
      <c r="O43" s="55">
        <f>DATE(2016,3,28)</f>
        <v>42457</v>
      </c>
      <c r="P43" s="55">
        <f>DATE(2017,12,28)</f>
        <v>43097</v>
      </c>
      <c r="Q43" s="51">
        <v>1485</v>
      </c>
      <c r="S43" s="51">
        <v>2</v>
      </c>
      <c r="U43" s="1">
        <f t="shared" si="33"/>
        <v>641</v>
      </c>
      <c r="V43" s="31">
        <f t="shared" si="34"/>
        <v>2.3166926677067083</v>
      </c>
      <c r="W43" s="31">
        <f t="shared" si="35"/>
        <v>845.59282371294853</v>
      </c>
      <c r="X43" s="31">
        <f t="shared" si="36"/>
        <v>1.0569910296411857</v>
      </c>
      <c r="AA43" s="32">
        <f t="shared" si="37"/>
        <v>42552</v>
      </c>
      <c r="AB43" s="32">
        <f t="shared" si="38"/>
        <v>42735</v>
      </c>
      <c r="AC43" s="51">
        <v>30</v>
      </c>
      <c r="AD43" s="1">
        <f t="shared" si="39"/>
        <v>184</v>
      </c>
      <c r="AE43" s="1">
        <f t="shared" si="40"/>
        <v>0</v>
      </c>
      <c r="AF43" s="1">
        <f t="shared" si="41"/>
        <v>0</v>
      </c>
      <c r="AG43" s="1">
        <f t="shared" si="42"/>
        <v>0</v>
      </c>
      <c r="AH43" s="1">
        <f t="shared" si="43"/>
        <v>0</v>
      </c>
      <c r="AI43" s="23">
        <f t="shared" si="44"/>
        <v>1</v>
      </c>
      <c r="AJ43" s="23">
        <f t="shared" si="45"/>
        <v>1.0569910296411857</v>
      </c>
      <c r="AK43" s="23">
        <f t="shared" si="46"/>
        <v>31.709730889235573</v>
      </c>
      <c r="AL43" s="23">
        <f t="shared" si="47"/>
        <v>63.419461778471145</v>
      </c>
      <c r="AM43" s="23">
        <f t="shared" si="48"/>
        <v>0</v>
      </c>
      <c r="AN43" s="23">
        <f t="shared" si="49"/>
        <v>63.419461778471145</v>
      </c>
      <c r="AQ43" s="32">
        <f t="shared" si="50"/>
        <v>42736</v>
      </c>
      <c r="AR43" s="32">
        <f t="shared" si="51"/>
        <v>42916</v>
      </c>
      <c r="AS43" s="51">
        <v>30</v>
      </c>
      <c r="AT43" s="1">
        <f t="shared" si="52"/>
        <v>181</v>
      </c>
      <c r="AU43" s="1">
        <f t="shared" si="53"/>
        <v>0</v>
      </c>
      <c r="AV43" s="1">
        <f t="shared" si="54"/>
        <v>0</v>
      </c>
      <c r="AW43" s="1">
        <f t="shared" si="55"/>
        <v>0</v>
      </c>
      <c r="AX43" s="1">
        <f t="shared" si="56"/>
        <v>0</v>
      </c>
      <c r="AY43" s="23">
        <f t="shared" si="57"/>
        <v>1</v>
      </c>
      <c r="AZ43" s="23">
        <f t="shared" si="58"/>
        <v>1.0569910296411857</v>
      </c>
      <c r="BA43" s="23">
        <f t="shared" si="59"/>
        <v>31.709730889235573</v>
      </c>
      <c r="BB43" s="23">
        <f t="shared" si="60"/>
        <v>63.419461778471145</v>
      </c>
      <c r="BC43" s="23">
        <f t="shared" si="61"/>
        <v>0</v>
      </c>
      <c r="BD43" s="23">
        <f t="shared" si="62"/>
        <v>63.419461778471145</v>
      </c>
    </row>
    <row r="44" spans="1:56">
      <c r="A44" s="1" t="s">
        <v>20</v>
      </c>
      <c r="B44" s="1" t="s">
        <v>53</v>
      </c>
      <c r="C44" s="1" t="s">
        <v>22</v>
      </c>
      <c r="D44" s="1" t="s">
        <v>54</v>
      </c>
      <c r="E44" s="51" t="s">
        <v>107</v>
      </c>
      <c r="F44" s="51" t="s">
        <v>108</v>
      </c>
      <c r="G44" s="51" t="s">
        <v>109</v>
      </c>
      <c r="H44" s="1" t="s">
        <v>642</v>
      </c>
      <c r="I44" s="1" t="s">
        <v>147</v>
      </c>
      <c r="J44" s="51" t="s">
        <v>148</v>
      </c>
      <c r="K44" s="51" t="s">
        <v>112</v>
      </c>
      <c r="L44" s="51" t="s">
        <v>112</v>
      </c>
      <c r="M44" s="1">
        <v>2023355</v>
      </c>
      <c r="N44" s="52" t="s">
        <v>1009</v>
      </c>
      <c r="O44" s="55">
        <f>DATE(2016,3,28)</f>
        <v>42457</v>
      </c>
      <c r="P44" s="55">
        <f>DATE(2019,6,28)</f>
        <v>43644</v>
      </c>
      <c r="Q44" s="51">
        <v>3855</v>
      </c>
      <c r="S44" s="51">
        <v>2.5</v>
      </c>
      <c r="U44" s="1">
        <f t="shared" si="33"/>
        <v>1188</v>
      </c>
      <c r="V44" s="31">
        <f t="shared" si="34"/>
        <v>3.2449494949494948</v>
      </c>
      <c r="W44" s="31">
        <f t="shared" si="35"/>
        <v>1184.4065656565656</v>
      </c>
      <c r="X44" s="31">
        <f t="shared" si="36"/>
        <v>1.480508207070707</v>
      </c>
      <c r="AA44" s="32">
        <f t="shared" si="37"/>
        <v>42552</v>
      </c>
      <c r="AB44" s="32">
        <f t="shared" si="38"/>
        <v>42735</v>
      </c>
      <c r="AC44" s="52">
        <v>34</v>
      </c>
      <c r="AD44" s="1">
        <f t="shared" si="39"/>
        <v>184</v>
      </c>
      <c r="AE44" s="1">
        <f t="shared" si="40"/>
        <v>0</v>
      </c>
      <c r="AF44" s="1">
        <f t="shared" si="41"/>
        <v>0</v>
      </c>
      <c r="AG44" s="1">
        <f t="shared" si="42"/>
        <v>0</v>
      </c>
      <c r="AH44" s="1">
        <f t="shared" si="43"/>
        <v>0</v>
      </c>
      <c r="AI44" s="23">
        <f t="shared" si="44"/>
        <v>1</v>
      </c>
      <c r="AJ44" s="23">
        <f t="shared" si="45"/>
        <v>1.480508207070707</v>
      </c>
      <c r="AK44" s="23">
        <f t="shared" si="46"/>
        <v>50.337279040404034</v>
      </c>
      <c r="AL44" s="23">
        <f t="shared" si="47"/>
        <v>125.84319760101009</v>
      </c>
      <c r="AM44" s="23">
        <f t="shared" si="48"/>
        <v>62.921598800505045</v>
      </c>
      <c r="AN44" s="23">
        <f t="shared" si="49"/>
        <v>188.76479640151513</v>
      </c>
      <c r="AQ44" s="32">
        <f t="shared" si="50"/>
        <v>42736</v>
      </c>
      <c r="AR44" s="32">
        <f t="shared" si="51"/>
        <v>42916</v>
      </c>
      <c r="AS44" s="52">
        <v>34</v>
      </c>
      <c r="AT44" s="1">
        <f t="shared" si="52"/>
        <v>181</v>
      </c>
      <c r="AU44" s="1">
        <f t="shared" si="53"/>
        <v>0</v>
      </c>
      <c r="AV44" s="1">
        <f t="shared" si="54"/>
        <v>0</v>
      </c>
      <c r="AW44" s="1">
        <f t="shared" si="55"/>
        <v>0</v>
      </c>
      <c r="AX44" s="1">
        <f t="shared" si="56"/>
        <v>0</v>
      </c>
      <c r="AY44" s="23">
        <f t="shared" si="57"/>
        <v>1</v>
      </c>
      <c r="AZ44" s="23">
        <f t="shared" si="58"/>
        <v>1.480508207070707</v>
      </c>
      <c r="BA44" s="23">
        <f t="shared" si="59"/>
        <v>50.337279040404034</v>
      </c>
      <c r="BB44" s="23">
        <f t="shared" si="60"/>
        <v>125.84319760101009</v>
      </c>
      <c r="BC44" s="23">
        <f t="shared" si="61"/>
        <v>62.921598800505045</v>
      </c>
      <c r="BD44" s="23">
        <f t="shared" si="62"/>
        <v>188.76479640151513</v>
      </c>
    </row>
    <row r="45" spans="1:56">
      <c r="A45" s="1" t="s">
        <v>20</v>
      </c>
      <c r="B45" s="1" t="s">
        <v>53</v>
      </c>
      <c r="C45" s="1" t="s">
        <v>22</v>
      </c>
      <c r="D45" s="1" t="s">
        <v>54</v>
      </c>
      <c r="E45" s="51" t="s">
        <v>107</v>
      </c>
      <c r="F45" s="51" t="s">
        <v>108</v>
      </c>
      <c r="G45" s="51" t="s">
        <v>109</v>
      </c>
      <c r="H45" s="1" t="s">
        <v>110</v>
      </c>
      <c r="I45" s="1" t="s">
        <v>111</v>
      </c>
      <c r="J45" s="51" t="s">
        <v>112</v>
      </c>
      <c r="K45" s="51" t="s">
        <v>112</v>
      </c>
      <c r="L45" s="51" t="s">
        <v>112</v>
      </c>
      <c r="M45" s="1">
        <v>2023358</v>
      </c>
      <c r="N45" s="52" t="s">
        <v>849</v>
      </c>
      <c r="O45" s="55">
        <f>DATE(2016,3,28)</f>
        <v>42457</v>
      </c>
      <c r="P45" s="55">
        <f>DATE(2019,6,28)</f>
        <v>43644</v>
      </c>
      <c r="Q45" s="51">
        <v>3720</v>
      </c>
      <c r="S45" s="51">
        <v>2</v>
      </c>
      <c r="U45" s="1">
        <f t="shared" si="33"/>
        <v>1188</v>
      </c>
      <c r="V45" s="31">
        <f t="shared" si="34"/>
        <v>3.1313131313131315</v>
      </c>
      <c r="W45" s="31">
        <f t="shared" si="35"/>
        <v>1142.9292929292931</v>
      </c>
      <c r="X45" s="31">
        <f t="shared" si="36"/>
        <v>1.4286616161616164</v>
      </c>
      <c r="AA45" s="32">
        <f t="shared" si="37"/>
        <v>42552</v>
      </c>
      <c r="AB45" s="32">
        <f t="shared" si="38"/>
        <v>42735</v>
      </c>
      <c r="AC45" s="52">
        <v>36</v>
      </c>
      <c r="AD45" s="1">
        <f t="shared" si="39"/>
        <v>184</v>
      </c>
      <c r="AE45" s="1">
        <f t="shared" si="40"/>
        <v>0</v>
      </c>
      <c r="AF45" s="1">
        <f t="shared" si="41"/>
        <v>0</v>
      </c>
      <c r="AG45" s="1">
        <f t="shared" si="42"/>
        <v>0</v>
      </c>
      <c r="AH45" s="1">
        <f t="shared" si="43"/>
        <v>0</v>
      </c>
      <c r="AI45" s="23">
        <f t="shared" si="44"/>
        <v>1</v>
      </c>
      <c r="AJ45" s="23">
        <f t="shared" si="45"/>
        <v>1.4286616161616164</v>
      </c>
      <c r="AK45" s="23">
        <f t="shared" si="46"/>
        <v>51.431818181818187</v>
      </c>
      <c r="AL45" s="23">
        <f t="shared" si="47"/>
        <v>102.86363636363637</v>
      </c>
      <c r="AM45" s="23">
        <f t="shared" si="48"/>
        <v>0</v>
      </c>
      <c r="AN45" s="23">
        <f t="shared" si="49"/>
        <v>102.86363636363637</v>
      </c>
      <c r="AQ45" s="32">
        <f t="shared" si="50"/>
        <v>42736</v>
      </c>
      <c r="AR45" s="32">
        <f t="shared" si="51"/>
        <v>42916</v>
      </c>
      <c r="AS45" s="52">
        <v>37</v>
      </c>
      <c r="AT45" s="1">
        <f t="shared" si="52"/>
        <v>181</v>
      </c>
      <c r="AU45" s="1">
        <f t="shared" si="53"/>
        <v>0</v>
      </c>
      <c r="AV45" s="1">
        <f t="shared" si="54"/>
        <v>0</v>
      </c>
      <c r="AW45" s="1">
        <f t="shared" si="55"/>
        <v>0</v>
      </c>
      <c r="AX45" s="1">
        <f t="shared" si="56"/>
        <v>0</v>
      </c>
      <c r="AY45" s="23">
        <f t="shared" si="57"/>
        <v>1</v>
      </c>
      <c r="AZ45" s="23">
        <f t="shared" si="58"/>
        <v>1.4286616161616164</v>
      </c>
      <c r="BA45" s="23">
        <f t="shared" si="59"/>
        <v>52.860479797979806</v>
      </c>
      <c r="BB45" s="23">
        <f t="shared" si="60"/>
        <v>105.72095959595961</v>
      </c>
      <c r="BC45" s="23">
        <f t="shared" si="61"/>
        <v>0</v>
      </c>
      <c r="BD45" s="23">
        <f t="shared" si="62"/>
        <v>105.72095959595961</v>
      </c>
    </row>
    <row r="46" spans="1:56">
      <c r="A46" s="1" t="s">
        <v>20</v>
      </c>
      <c r="B46" s="1" t="s">
        <v>53</v>
      </c>
      <c r="C46" s="1" t="s">
        <v>22</v>
      </c>
      <c r="D46" s="1" t="s">
        <v>54</v>
      </c>
      <c r="E46" s="51" t="s">
        <v>107</v>
      </c>
      <c r="F46" s="51" t="s">
        <v>822</v>
      </c>
      <c r="G46" s="51" t="s">
        <v>109</v>
      </c>
      <c r="H46" s="1" t="s">
        <v>1010</v>
      </c>
      <c r="J46" s="51" t="s">
        <v>112</v>
      </c>
      <c r="K46" s="51" t="s">
        <v>112</v>
      </c>
      <c r="L46" s="51" t="s">
        <v>112</v>
      </c>
      <c r="M46" s="1">
        <v>2034428</v>
      </c>
      <c r="N46" s="52" t="s">
        <v>1011</v>
      </c>
      <c r="O46" s="55">
        <f>DATE(2016,6,30)</f>
        <v>42551</v>
      </c>
      <c r="P46" s="55">
        <f>DATE(2016,12,22)</f>
        <v>42726</v>
      </c>
      <c r="Q46" s="51">
        <v>160</v>
      </c>
      <c r="S46" s="51">
        <v>1</v>
      </c>
      <c r="U46" s="1">
        <f t="shared" si="33"/>
        <v>176</v>
      </c>
      <c r="V46" s="31">
        <f t="shared" si="34"/>
        <v>0.90909090909090906</v>
      </c>
      <c r="W46" s="31">
        <f t="shared" si="35"/>
        <v>160</v>
      </c>
      <c r="X46" s="31">
        <f t="shared" si="36"/>
        <v>0.2</v>
      </c>
      <c r="AA46" s="32">
        <f t="shared" si="37"/>
        <v>42552</v>
      </c>
      <c r="AB46" s="32">
        <f t="shared" si="38"/>
        <v>42735</v>
      </c>
      <c r="AC46" s="52">
        <v>64</v>
      </c>
      <c r="AD46" s="1">
        <f t="shared" si="39"/>
        <v>0</v>
      </c>
      <c r="AE46" s="1">
        <f t="shared" si="40"/>
        <v>0</v>
      </c>
      <c r="AF46" s="1">
        <f t="shared" si="41"/>
        <v>175</v>
      </c>
      <c r="AG46" s="1">
        <f t="shared" si="42"/>
        <v>0</v>
      </c>
      <c r="AH46" s="1">
        <f t="shared" si="43"/>
        <v>0</v>
      </c>
      <c r="AI46" s="23">
        <f t="shared" si="44"/>
        <v>0.95108695652173914</v>
      </c>
      <c r="AJ46" s="23">
        <f t="shared" si="45"/>
        <v>0.19021739130434784</v>
      </c>
      <c r="AK46" s="23">
        <f t="shared" si="46"/>
        <v>12.173913043478262</v>
      </c>
      <c r="AL46" s="23">
        <f t="shared" si="47"/>
        <v>12.173913043478262</v>
      </c>
      <c r="AM46" s="23">
        <f t="shared" si="48"/>
        <v>0</v>
      </c>
      <c r="AN46" s="23">
        <f t="shared" si="49"/>
        <v>12.173913043478262</v>
      </c>
      <c r="AQ46" s="32">
        <f t="shared" si="50"/>
        <v>42736</v>
      </c>
      <c r="AR46" s="32">
        <f t="shared" si="51"/>
        <v>42916</v>
      </c>
      <c r="AS46" s="52">
        <v>61</v>
      </c>
      <c r="AT46" s="1">
        <f t="shared" si="52"/>
        <v>0</v>
      </c>
      <c r="AU46" s="1">
        <f t="shared" si="53"/>
        <v>0</v>
      </c>
      <c r="AV46" s="1">
        <f t="shared" si="54"/>
        <v>0</v>
      </c>
      <c r="AW46" s="1">
        <f t="shared" si="55"/>
        <v>0</v>
      </c>
      <c r="AX46" s="1">
        <f t="shared" si="56"/>
        <v>90.5</v>
      </c>
      <c r="AY46" s="23">
        <f t="shared" si="57"/>
        <v>0.5</v>
      </c>
      <c r="AZ46" s="23">
        <f t="shared" si="58"/>
        <v>0.1</v>
      </c>
      <c r="BA46" s="23">
        <f t="shared" si="59"/>
        <v>3.0500000000000003</v>
      </c>
      <c r="BB46" s="23">
        <f t="shared" si="60"/>
        <v>3.0500000000000003</v>
      </c>
      <c r="BC46" s="23">
        <f t="shared" si="61"/>
        <v>0</v>
      </c>
      <c r="BD46" s="23">
        <f t="shared" si="62"/>
        <v>3.0500000000000003</v>
      </c>
    </row>
    <row r="47" spans="1:56">
      <c r="A47" s="1" t="s">
        <v>20</v>
      </c>
      <c r="B47" s="1" t="s">
        <v>53</v>
      </c>
      <c r="C47" s="1" t="s">
        <v>22</v>
      </c>
      <c r="D47" s="1" t="s">
        <v>54</v>
      </c>
      <c r="E47" s="51" t="s">
        <v>107</v>
      </c>
      <c r="F47" s="51" t="s">
        <v>108</v>
      </c>
      <c r="G47" s="51" t="s">
        <v>109</v>
      </c>
      <c r="H47" s="1" t="s">
        <v>110</v>
      </c>
      <c r="I47" s="1" t="s">
        <v>111</v>
      </c>
      <c r="J47" s="51" t="s">
        <v>112</v>
      </c>
      <c r="K47" s="51" t="s">
        <v>112</v>
      </c>
      <c r="L47" s="51" t="s">
        <v>112</v>
      </c>
      <c r="M47" s="1">
        <v>2145615</v>
      </c>
      <c r="N47" s="52" t="s">
        <v>957</v>
      </c>
      <c r="O47" s="55">
        <f t="shared" ref="O47:O52" si="63">DATE(2017,3,2)</f>
        <v>42796</v>
      </c>
      <c r="P47" s="55">
        <f>DATE(2020,3,31)</f>
        <v>43921</v>
      </c>
      <c r="Q47" s="51">
        <v>3443</v>
      </c>
      <c r="S47" s="51">
        <v>2</v>
      </c>
      <c r="U47" s="1">
        <f t="shared" si="33"/>
        <v>1126</v>
      </c>
      <c r="V47" s="31">
        <f t="shared" si="34"/>
        <v>3.0577264653641207</v>
      </c>
      <c r="W47" s="31">
        <f t="shared" si="35"/>
        <v>1116.0701598579042</v>
      </c>
      <c r="X47" s="31">
        <f t="shared" si="36"/>
        <v>1.3950876998223802</v>
      </c>
      <c r="AA47" s="32">
        <f t="shared" si="37"/>
        <v>42552</v>
      </c>
      <c r="AB47" s="32">
        <f t="shared" si="38"/>
        <v>42735</v>
      </c>
      <c r="AC47" s="1">
        <v>0</v>
      </c>
      <c r="AD47" s="1">
        <f t="shared" si="39"/>
        <v>0</v>
      </c>
      <c r="AE47" s="1">
        <f t="shared" si="40"/>
        <v>0</v>
      </c>
      <c r="AF47" s="1">
        <f t="shared" si="41"/>
        <v>0</v>
      </c>
      <c r="AG47" s="1">
        <f t="shared" si="42"/>
        <v>0</v>
      </c>
      <c r="AH47" s="1">
        <f t="shared" si="43"/>
        <v>0</v>
      </c>
      <c r="AI47" s="23">
        <f t="shared" si="44"/>
        <v>0</v>
      </c>
      <c r="AJ47" s="23">
        <f t="shared" si="45"/>
        <v>0</v>
      </c>
      <c r="AK47" s="23">
        <f t="shared" si="46"/>
        <v>0</v>
      </c>
      <c r="AL47" s="23">
        <f t="shared" si="47"/>
        <v>0</v>
      </c>
      <c r="AM47" s="23">
        <f t="shared" si="48"/>
        <v>0</v>
      </c>
      <c r="AN47" s="23">
        <f t="shared" si="49"/>
        <v>0</v>
      </c>
      <c r="AQ47" s="32">
        <f t="shared" si="50"/>
        <v>42736</v>
      </c>
      <c r="AR47" s="32">
        <f t="shared" si="51"/>
        <v>42916</v>
      </c>
      <c r="AS47" s="52">
        <v>40</v>
      </c>
      <c r="AT47" s="1">
        <f t="shared" si="52"/>
        <v>0</v>
      </c>
      <c r="AU47" s="1">
        <f t="shared" si="53"/>
        <v>121</v>
      </c>
      <c r="AV47" s="1">
        <f t="shared" si="54"/>
        <v>0</v>
      </c>
      <c r="AW47" s="1">
        <f t="shared" si="55"/>
        <v>0</v>
      </c>
      <c r="AX47" s="1">
        <f t="shared" si="56"/>
        <v>0</v>
      </c>
      <c r="AY47" s="23">
        <f t="shared" si="57"/>
        <v>0.66850828729281764</v>
      </c>
      <c r="AZ47" s="23">
        <f t="shared" si="58"/>
        <v>0.93262768883153591</v>
      </c>
      <c r="BA47" s="23">
        <f t="shared" si="59"/>
        <v>37.305107553261436</v>
      </c>
      <c r="BB47" s="23">
        <f t="shared" si="60"/>
        <v>74.610215106522872</v>
      </c>
      <c r="BC47" s="23">
        <f t="shared" si="61"/>
        <v>0</v>
      </c>
      <c r="BD47" s="23">
        <f t="shared" si="62"/>
        <v>74.610215106522872</v>
      </c>
    </row>
    <row r="48" spans="1:56">
      <c r="A48" s="1" t="s">
        <v>20</v>
      </c>
      <c r="B48" s="1" t="s">
        <v>53</v>
      </c>
      <c r="C48" s="1" t="s">
        <v>22</v>
      </c>
      <c r="D48" s="1" t="s">
        <v>54</v>
      </c>
      <c r="E48" s="51" t="s">
        <v>107</v>
      </c>
      <c r="F48" s="51" t="s">
        <v>108</v>
      </c>
      <c r="G48" s="51" t="s">
        <v>109</v>
      </c>
      <c r="H48" s="1" t="s">
        <v>124</v>
      </c>
      <c r="I48" s="1" t="s">
        <v>125</v>
      </c>
      <c r="J48" s="51" t="s">
        <v>112</v>
      </c>
      <c r="K48" s="51" t="s">
        <v>112</v>
      </c>
      <c r="L48" s="51" t="s">
        <v>112</v>
      </c>
      <c r="M48" s="1">
        <v>2145636</v>
      </c>
      <c r="N48" s="52" t="s">
        <v>1012</v>
      </c>
      <c r="O48" s="55">
        <f t="shared" si="63"/>
        <v>42796</v>
      </c>
      <c r="P48" s="55">
        <f>DATE(2020,3,31)</f>
        <v>43921</v>
      </c>
      <c r="Q48" s="51">
        <v>3045</v>
      </c>
      <c r="S48" s="51">
        <v>2.5</v>
      </c>
      <c r="U48" s="1">
        <f t="shared" si="33"/>
        <v>1126</v>
      </c>
      <c r="V48" s="31">
        <f t="shared" si="34"/>
        <v>2.7042628774422734</v>
      </c>
      <c r="W48" s="31">
        <f t="shared" si="35"/>
        <v>987.05595026642982</v>
      </c>
      <c r="X48" s="31">
        <f t="shared" si="36"/>
        <v>1.2338199378330372</v>
      </c>
      <c r="AA48" s="32">
        <f t="shared" si="37"/>
        <v>42552</v>
      </c>
      <c r="AB48" s="32">
        <f t="shared" si="38"/>
        <v>42735</v>
      </c>
      <c r="AC48" s="1">
        <v>0</v>
      </c>
      <c r="AD48" s="1">
        <f t="shared" si="39"/>
        <v>0</v>
      </c>
      <c r="AE48" s="1">
        <f t="shared" si="40"/>
        <v>0</v>
      </c>
      <c r="AF48" s="1">
        <f t="shared" si="41"/>
        <v>0</v>
      </c>
      <c r="AG48" s="1">
        <f t="shared" si="42"/>
        <v>0</v>
      </c>
      <c r="AH48" s="1">
        <f t="shared" si="43"/>
        <v>0</v>
      </c>
      <c r="AI48" s="23">
        <f t="shared" si="44"/>
        <v>0</v>
      </c>
      <c r="AJ48" s="23">
        <f t="shared" si="45"/>
        <v>0</v>
      </c>
      <c r="AK48" s="23">
        <f t="shared" si="46"/>
        <v>0</v>
      </c>
      <c r="AL48" s="23">
        <f t="shared" si="47"/>
        <v>0</v>
      </c>
      <c r="AM48" s="23">
        <f t="shared" si="48"/>
        <v>0</v>
      </c>
      <c r="AN48" s="23">
        <f t="shared" si="49"/>
        <v>0</v>
      </c>
      <c r="AQ48" s="32">
        <f t="shared" si="50"/>
        <v>42736</v>
      </c>
      <c r="AR48" s="32">
        <f t="shared" si="51"/>
        <v>42916</v>
      </c>
      <c r="AS48" s="52">
        <v>40</v>
      </c>
      <c r="AT48" s="1">
        <f t="shared" si="52"/>
        <v>0</v>
      </c>
      <c r="AU48" s="1">
        <f t="shared" si="53"/>
        <v>121</v>
      </c>
      <c r="AV48" s="1">
        <f t="shared" si="54"/>
        <v>0</v>
      </c>
      <c r="AW48" s="1">
        <f t="shared" si="55"/>
        <v>0</v>
      </c>
      <c r="AX48" s="1">
        <f t="shared" si="56"/>
        <v>0</v>
      </c>
      <c r="AY48" s="23">
        <f t="shared" si="57"/>
        <v>0.66850828729281764</v>
      </c>
      <c r="AZ48" s="23">
        <f t="shared" si="58"/>
        <v>0.82481885346849448</v>
      </c>
      <c r="BA48" s="23">
        <f t="shared" si="59"/>
        <v>32.992754138739777</v>
      </c>
      <c r="BB48" s="23">
        <f t="shared" si="60"/>
        <v>82.481885346849438</v>
      </c>
      <c r="BC48" s="23">
        <f t="shared" si="61"/>
        <v>0</v>
      </c>
      <c r="BD48" s="23">
        <f t="shared" si="62"/>
        <v>82.481885346849438</v>
      </c>
    </row>
    <row r="49" spans="1:56">
      <c r="A49" s="1" t="s">
        <v>20</v>
      </c>
      <c r="B49" s="1" t="s">
        <v>53</v>
      </c>
      <c r="C49" s="1" t="s">
        <v>22</v>
      </c>
      <c r="D49" s="1" t="s">
        <v>54</v>
      </c>
      <c r="E49" s="51" t="s">
        <v>107</v>
      </c>
      <c r="F49" s="51" t="s">
        <v>108</v>
      </c>
      <c r="G49" s="51" t="s">
        <v>109</v>
      </c>
      <c r="H49" s="1" t="s">
        <v>146</v>
      </c>
      <c r="I49" s="1" t="s">
        <v>147</v>
      </c>
      <c r="J49" s="51" t="s">
        <v>148</v>
      </c>
      <c r="K49" s="51" t="s">
        <v>112</v>
      </c>
      <c r="L49" s="51" t="s">
        <v>112</v>
      </c>
      <c r="M49" s="1">
        <v>2145664</v>
      </c>
      <c r="N49" s="52" t="s">
        <v>1013</v>
      </c>
      <c r="O49" s="55">
        <f t="shared" si="63"/>
        <v>42796</v>
      </c>
      <c r="P49" s="55">
        <f>DATE(2018,9,28)</f>
        <v>43371</v>
      </c>
      <c r="Q49" s="51">
        <v>1263</v>
      </c>
      <c r="S49" s="51">
        <v>2.5</v>
      </c>
      <c r="U49" s="1">
        <f t="shared" si="33"/>
        <v>576</v>
      </c>
      <c r="V49" s="31">
        <f t="shared" si="34"/>
        <v>2.1927083333333335</v>
      </c>
      <c r="W49" s="31">
        <f t="shared" si="35"/>
        <v>800.33854166666674</v>
      </c>
      <c r="X49" s="31">
        <f t="shared" si="36"/>
        <v>1.0004231770833334</v>
      </c>
      <c r="AA49" s="32">
        <f t="shared" si="37"/>
        <v>42552</v>
      </c>
      <c r="AB49" s="32">
        <f t="shared" si="38"/>
        <v>42735</v>
      </c>
      <c r="AC49" s="1">
        <v>0</v>
      </c>
      <c r="AD49" s="1">
        <f t="shared" si="39"/>
        <v>0</v>
      </c>
      <c r="AE49" s="1">
        <f t="shared" si="40"/>
        <v>0</v>
      </c>
      <c r="AF49" s="1">
        <f t="shared" si="41"/>
        <v>0</v>
      </c>
      <c r="AG49" s="1">
        <f t="shared" si="42"/>
        <v>0</v>
      </c>
      <c r="AH49" s="1">
        <f t="shared" si="43"/>
        <v>0</v>
      </c>
      <c r="AI49" s="23">
        <f t="shared" si="44"/>
        <v>0</v>
      </c>
      <c r="AJ49" s="23">
        <f t="shared" si="45"/>
        <v>0</v>
      </c>
      <c r="AK49" s="23">
        <f t="shared" si="46"/>
        <v>0</v>
      </c>
      <c r="AL49" s="23">
        <f t="shared" si="47"/>
        <v>0</v>
      </c>
      <c r="AM49" s="23">
        <f t="shared" si="48"/>
        <v>0</v>
      </c>
      <c r="AN49" s="23">
        <f t="shared" si="49"/>
        <v>0</v>
      </c>
      <c r="AQ49" s="32">
        <f t="shared" si="50"/>
        <v>42736</v>
      </c>
      <c r="AR49" s="32">
        <f t="shared" si="51"/>
        <v>42916</v>
      </c>
      <c r="AS49" s="52">
        <v>40</v>
      </c>
      <c r="AT49" s="1">
        <f t="shared" si="52"/>
        <v>0</v>
      </c>
      <c r="AU49" s="1">
        <f t="shared" si="53"/>
        <v>121</v>
      </c>
      <c r="AV49" s="1">
        <f t="shared" si="54"/>
        <v>0</v>
      </c>
      <c r="AW49" s="1">
        <f t="shared" si="55"/>
        <v>0</v>
      </c>
      <c r="AX49" s="1">
        <f t="shared" si="56"/>
        <v>0</v>
      </c>
      <c r="AY49" s="23">
        <f t="shared" si="57"/>
        <v>0.66850828729281764</v>
      </c>
      <c r="AZ49" s="23">
        <f t="shared" si="58"/>
        <v>0.66879118468001841</v>
      </c>
      <c r="BA49" s="23">
        <f t="shared" si="59"/>
        <v>26.751647387200737</v>
      </c>
      <c r="BB49" s="23">
        <f t="shared" si="60"/>
        <v>66.879118468001849</v>
      </c>
      <c r="BC49" s="23">
        <f t="shared" si="61"/>
        <v>33.439559234000924</v>
      </c>
      <c r="BD49" s="23">
        <f t="shared" si="62"/>
        <v>100.31867770200277</v>
      </c>
    </row>
    <row r="50" spans="1:56">
      <c r="A50" s="1" t="s">
        <v>20</v>
      </c>
      <c r="B50" s="1" t="s">
        <v>53</v>
      </c>
      <c r="C50" s="1" t="s">
        <v>22</v>
      </c>
      <c r="D50" s="1" t="s">
        <v>54</v>
      </c>
      <c r="E50" s="51" t="s">
        <v>107</v>
      </c>
      <c r="F50" s="51" t="s">
        <v>108</v>
      </c>
      <c r="G50" s="51" t="s">
        <v>109</v>
      </c>
      <c r="H50" s="1" t="s">
        <v>642</v>
      </c>
      <c r="I50" s="1" t="s">
        <v>147</v>
      </c>
      <c r="J50" s="51" t="s">
        <v>148</v>
      </c>
      <c r="K50" s="51" t="s">
        <v>112</v>
      </c>
      <c r="L50" s="51" t="s">
        <v>112</v>
      </c>
      <c r="M50" s="1">
        <v>2145667</v>
      </c>
      <c r="N50" s="52" t="s">
        <v>1014</v>
      </c>
      <c r="O50" s="55">
        <f t="shared" si="63"/>
        <v>42796</v>
      </c>
      <c r="P50" s="55">
        <f>DATE(2020,3,31)</f>
        <v>43921</v>
      </c>
      <c r="Q50" s="51">
        <v>3311</v>
      </c>
      <c r="S50" s="51">
        <v>2.5</v>
      </c>
      <c r="U50" s="1">
        <f t="shared" si="33"/>
        <v>1126</v>
      </c>
      <c r="V50" s="31">
        <f t="shared" si="34"/>
        <v>2.9404973357015987</v>
      </c>
      <c r="W50" s="31">
        <f t="shared" si="35"/>
        <v>1073.2815275310836</v>
      </c>
      <c r="X50" s="31">
        <f t="shared" si="36"/>
        <v>1.3416019094138545</v>
      </c>
      <c r="AA50" s="32">
        <f t="shared" si="37"/>
        <v>42552</v>
      </c>
      <c r="AB50" s="32">
        <f t="shared" si="38"/>
        <v>42735</v>
      </c>
      <c r="AC50" s="1">
        <v>0</v>
      </c>
      <c r="AD50" s="1">
        <f t="shared" si="39"/>
        <v>0</v>
      </c>
      <c r="AE50" s="1">
        <f t="shared" si="40"/>
        <v>0</v>
      </c>
      <c r="AF50" s="1">
        <f t="shared" si="41"/>
        <v>0</v>
      </c>
      <c r="AG50" s="1">
        <f t="shared" si="42"/>
        <v>0</v>
      </c>
      <c r="AH50" s="1">
        <f t="shared" si="43"/>
        <v>0</v>
      </c>
      <c r="AI50" s="23">
        <f t="shared" si="44"/>
        <v>0</v>
      </c>
      <c r="AJ50" s="23">
        <f t="shared" si="45"/>
        <v>0</v>
      </c>
      <c r="AK50" s="23">
        <f t="shared" si="46"/>
        <v>0</v>
      </c>
      <c r="AL50" s="23">
        <f t="shared" si="47"/>
        <v>0</v>
      </c>
      <c r="AM50" s="23">
        <f t="shared" si="48"/>
        <v>0</v>
      </c>
      <c r="AN50" s="23">
        <f t="shared" si="49"/>
        <v>0</v>
      </c>
      <c r="AQ50" s="32">
        <f t="shared" si="50"/>
        <v>42736</v>
      </c>
      <c r="AR50" s="32">
        <f t="shared" si="51"/>
        <v>42916</v>
      </c>
      <c r="AS50" s="52">
        <v>40</v>
      </c>
      <c r="AT50" s="1">
        <f t="shared" si="52"/>
        <v>0</v>
      </c>
      <c r="AU50" s="1">
        <f t="shared" si="53"/>
        <v>121</v>
      </c>
      <c r="AV50" s="1">
        <f t="shared" si="54"/>
        <v>0</v>
      </c>
      <c r="AW50" s="1">
        <f t="shared" si="55"/>
        <v>0</v>
      </c>
      <c r="AX50" s="1">
        <f t="shared" si="56"/>
        <v>0</v>
      </c>
      <c r="AY50" s="23">
        <f t="shared" si="57"/>
        <v>0.66850828729281764</v>
      </c>
      <c r="AZ50" s="23">
        <f t="shared" si="58"/>
        <v>0.89687199469102974</v>
      </c>
      <c r="BA50" s="23">
        <f t="shared" si="59"/>
        <v>35.874879787641191</v>
      </c>
      <c r="BB50" s="23">
        <f t="shared" si="60"/>
        <v>89.687199469102978</v>
      </c>
      <c r="BC50" s="23">
        <f t="shared" si="61"/>
        <v>44.843599734551489</v>
      </c>
      <c r="BD50" s="23">
        <f t="shared" si="62"/>
        <v>134.53079920365445</v>
      </c>
    </row>
    <row r="51" spans="1:56">
      <c r="A51" s="1" t="s">
        <v>20</v>
      </c>
      <c r="B51" s="1" t="s">
        <v>53</v>
      </c>
      <c r="C51" s="1" t="s">
        <v>22</v>
      </c>
      <c r="D51" s="1" t="s">
        <v>54</v>
      </c>
      <c r="E51" s="51" t="s">
        <v>107</v>
      </c>
      <c r="F51" s="51" t="s">
        <v>108</v>
      </c>
      <c r="G51" s="51" t="s">
        <v>109</v>
      </c>
      <c r="H51" s="1" t="s">
        <v>609</v>
      </c>
      <c r="I51" s="1" t="s">
        <v>214</v>
      </c>
      <c r="J51" s="51" t="s">
        <v>112</v>
      </c>
      <c r="K51" s="51" t="s">
        <v>112</v>
      </c>
      <c r="L51" s="51" t="s">
        <v>112</v>
      </c>
      <c r="M51" s="1">
        <v>2145668</v>
      </c>
      <c r="N51" s="52" t="s">
        <v>1015</v>
      </c>
      <c r="O51" s="55">
        <f t="shared" si="63"/>
        <v>42796</v>
      </c>
      <c r="P51" s="55">
        <f>DATE(2018,9,28)</f>
        <v>43371</v>
      </c>
      <c r="Q51" s="51">
        <v>920</v>
      </c>
      <c r="S51" s="51">
        <v>1</v>
      </c>
      <c r="U51" s="1">
        <f t="shared" si="33"/>
        <v>576</v>
      </c>
      <c r="V51" s="31">
        <f t="shared" si="34"/>
        <v>1.5972222222222223</v>
      </c>
      <c r="W51" s="31">
        <f t="shared" si="35"/>
        <v>582.9861111111112</v>
      </c>
      <c r="X51" s="31">
        <f t="shared" si="36"/>
        <v>0.72873263888888895</v>
      </c>
      <c r="AA51" s="32">
        <f t="shared" si="37"/>
        <v>42552</v>
      </c>
      <c r="AB51" s="32">
        <f t="shared" si="38"/>
        <v>42735</v>
      </c>
      <c r="AC51" s="1">
        <v>0</v>
      </c>
      <c r="AD51" s="1">
        <f t="shared" si="39"/>
        <v>0</v>
      </c>
      <c r="AE51" s="1">
        <f t="shared" si="40"/>
        <v>0</v>
      </c>
      <c r="AF51" s="1">
        <f t="shared" si="41"/>
        <v>0</v>
      </c>
      <c r="AG51" s="1">
        <f t="shared" si="42"/>
        <v>0</v>
      </c>
      <c r="AH51" s="1">
        <f t="shared" si="43"/>
        <v>0</v>
      </c>
      <c r="AI51" s="23">
        <f t="shared" si="44"/>
        <v>0</v>
      </c>
      <c r="AJ51" s="23">
        <f t="shared" si="45"/>
        <v>0</v>
      </c>
      <c r="AK51" s="23">
        <f t="shared" si="46"/>
        <v>0</v>
      </c>
      <c r="AL51" s="23">
        <f t="shared" si="47"/>
        <v>0</v>
      </c>
      <c r="AM51" s="23">
        <f t="shared" si="48"/>
        <v>0</v>
      </c>
      <c r="AN51" s="23">
        <f t="shared" si="49"/>
        <v>0</v>
      </c>
      <c r="AQ51" s="32">
        <f t="shared" si="50"/>
        <v>42736</v>
      </c>
      <c r="AR51" s="32">
        <f t="shared" si="51"/>
        <v>42916</v>
      </c>
      <c r="AS51" s="52">
        <v>40</v>
      </c>
      <c r="AT51" s="1">
        <f t="shared" si="52"/>
        <v>0</v>
      </c>
      <c r="AU51" s="1">
        <f t="shared" si="53"/>
        <v>121</v>
      </c>
      <c r="AV51" s="1">
        <f t="shared" si="54"/>
        <v>0</v>
      </c>
      <c r="AW51" s="1">
        <f t="shared" si="55"/>
        <v>0</v>
      </c>
      <c r="AX51" s="1">
        <f t="shared" si="56"/>
        <v>0</v>
      </c>
      <c r="AY51" s="23">
        <f t="shared" si="57"/>
        <v>0.66850828729281764</v>
      </c>
      <c r="AZ51" s="23">
        <f t="shared" si="58"/>
        <v>0.4871638083179865</v>
      </c>
      <c r="BA51" s="23">
        <f t="shared" si="59"/>
        <v>19.486552332719459</v>
      </c>
      <c r="BB51" s="23">
        <f t="shared" si="60"/>
        <v>19.486552332719459</v>
      </c>
      <c r="BC51" s="23">
        <f t="shared" si="61"/>
        <v>0</v>
      </c>
      <c r="BD51" s="23">
        <f t="shared" si="62"/>
        <v>19.486552332719459</v>
      </c>
    </row>
    <row r="52" spans="1:56">
      <c r="A52" s="1" t="s">
        <v>20</v>
      </c>
      <c r="B52" s="1" t="s">
        <v>53</v>
      </c>
      <c r="C52" s="1" t="s">
        <v>22</v>
      </c>
      <c r="D52" s="1" t="s">
        <v>54</v>
      </c>
      <c r="E52" s="51" t="s">
        <v>107</v>
      </c>
      <c r="F52" s="51" t="s">
        <v>108</v>
      </c>
      <c r="G52" s="51" t="s">
        <v>109</v>
      </c>
      <c r="H52" s="1" t="s">
        <v>179</v>
      </c>
      <c r="I52" s="1" t="s">
        <v>125</v>
      </c>
      <c r="J52" s="51" t="s">
        <v>112</v>
      </c>
      <c r="K52" s="51" t="s">
        <v>112</v>
      </c>
      <c r="L52" s="51" t="s">
        <v>112</v>
      </c>
      <c r="M52" s="1">
        <v>2145671</v>
      </c>
      <c r="N52" s="52" t="s">
        <v>1016</v>
      </c>
      <c r="O52" s="55">
        <f t="shared" si="63"/>
        <v>42796</v>
      </c>
      <c r="P52" s="55">
        <f>DATE(2019,2,28)</f>
        <v>43524</v>
      </c>
      <c r="Q52" s="51">
        <v>1780</v>
      </c>
      <c r="S52" s="51">
        <v>2</v>
      </c>
      <c r="U52" s="1">
        <f t="shared" si="33"/>
        <v>729</v>
      </c>
      <c r="V52" s="31">
        <f t="shared" si="34"/>
        <v>2.4417009602194786</v>
      </c>
      <c r="W52" s="31">
        <f t="shared" si="35"/>
        <v>891.22085048010968</v>
      </c>
      <c r="X52" s="31">
        <f t="shared" si="36"/>
        <v>1.1140260631001371</v>
      </c>
      <c r="AA52" s="32">
        <f t="shared" si="37"/>
        <v>42552</v>
      </c>
      <c r="AB52" s="32">
        <f t="shared" si="38"/>
        <v>42735</v>
      </c>
      <c r="AC52" s="1">
        <v>0</v>
      </c>
      <c r="AD52" s="1">
        <f t="shared" si="39"/>
        <v>0</v>
      </c>
      <c r="AE52" s="1">
        <f t="shared" si="40"/>
        <v>0</v>
      </c>
      <c r="AF52" s="1">
        <f t="shared" si="41"/>
        <v>0</v>
      </c>
      <c r="AG52" s="1">
        <f t="shared" si="42"/>
        <v>0</v>
      </c>
      <c r="AH52" s="1">
        <f t="shared" si="43"/>
        <v>0</v>
      </c>
      <c r="AI52" s="23">
        <f t="shared" si="44"/>
        <v>0</v>
      </c>
      <c r="AJ52" s="23">
        <f t="shared" si="45"/>
        <v>0</v>
      </c>
      <c r="AK52" s="23">
        <f t="shared" si="46"/>
        <v>0</v>
      </c>
      <c r="AL52" s="23">
        <f t="shared" si="47"/>
        <v>0</v>
      </c>
      <c r="AM52" s="23">
        <f t="shared" si="48"/>
        <v>0</v>
      </c>
      <c r="AN52" s="23">
        <f t="shared" si="49"/>
        <v>0</v>
      </c>
      <c r="AQ52" s="32">
        <f t="shared" si="50"/>
        <v>42736</v>
      </c>
      <c r="AR52" s="32">
        <f t="shared" si="51"/>
        <v>42916</v>
      </c>
      <c r="AS52" s="52">
        <v>40</v>
      </c>
      <c r="AT52" s="1">
        <f t="shared" si="52"/>
        <v>0</v>
      </c>
      <c r="AU52" s="1">
        <f t="shared" si="53"/>
        <v>121</v>
      </c>
      <c r="AV52" s="1">
        <f t="shared" si="54"/>
        <v>0</v>
      </c>
      <c r="AW52" s="1">
        <f t="shared" si="55"/>
        <v>0</v>
      </c>
      <c r="AX52" s="1">
        <f t="shared" si="56"/>
        <v>0</v>
      </c>
      <c r="AY52" s="23">
        <f t="shared" si="57"/>
        <v>0.66850828729281764</v>
      </c>
      <c r="AZ52" s="23">
        <f t="shared" si="58"/>
        <v>0.74473565544263298</v>
      </c>
      <c r="BA52" s="23">
        <f t="shared" si="59"/>
        <v>29.789426217705319</v>
      </c>
      <c r="BB52" s="23">
        <f t="shared" si="60"/>
        <v>59.578852435410639</v>
      </c>
      <c r="BC52" s="23">
        <f t="shared" si="61"/>
        <v>0</v>
      </c>
      <c r="BD52" s="23">
        <f t="shared" si="62"/>
        <v>59.578852435410639</v>
      </c>
    </row>
    <row r="53" spans="1:56">
      <c r="A53" s="1" t="s">
        <v>20</v>
      </c>
      <c r="B53" s="1" t="s">
        <v>53</v>
      </c>
      <c r="C53" s="1" t="s">
        <v>22</v>
      </c>
      <c r="D53" s="1" t="s">
        <v>54</v>
      </c>
      <c r="E53" s="51" t="s">
        <v>107</v>
      </c>
      <c r="F53" s="51" t="s">
        <v>108</v>
      </c>
      <c r="G53" s="51" t="s">
        <v>109</v>
      </c>
      <c r="H53" s="1" t="s">
        <v>618</v>
      </c>
      <c r="I53" s="1" t="s">
        <v>214</v>
      </c>
      <c r="J53" s="51" t="s">
        <v>112</v>
      </c>
      <c r="K53" s="51" t="s">
        <v>148</v>
      </c>
      <c r="L53" s="51" t="s">
        <v>112</v>
      </c>
      <c r="M53" s="1">
        <v>2151748</v>
      </c>
      <c r="N53" s="52" t="s">
        <v>1017</v>
      </c>
      <c r="O53" s="55">
        <f>DATE(2017,4,3)</f>
        <v>42828</v>
      </c>
      <c r="P53" s="55">
        <f>DATE(2020,2,28)</f>
        <v>43889</v>
      </c>
      <c r="Q53" s="51">
        <v>2713</v>
      </c>
      <c r="S53" s="51">
        <v>2</v>
      </c>
      <c r="U53" s="1">
        <f t="shared" si="33"/>
        <v>1062</v>
      </c>
      <c r="V53" s="31">
        <f t="shared" si="34"/>
        <v>2.5546139359698681</v>
      </c>
      <c r="W53" s="31">
        <f t="shared" si="35"/>
        <v>932.43408662900185</v>
      </c>
      <c r="X53" s="31">
        <f t="shared" si="36"/>
        <v>1.1655426082862523</v>
      </c>
      <c r="AA53" s="32">
        <f t="shared" si="37"/>
        <v>42552</v>
      </c>
      <c r="AB53" s="32">
        <f t="shared" si="38"/>
        <v>42735</v>
      </c>
      <c r="AC53" s="1">
        <v>0</v>
      </c>
      <c r="AD53" s="1">
        <f t="shared" si="39"/>
        <v>0</v>
      </c>
      <c r="AE53" s="1">
        <f t="shared" si="40"/>
        <v>0</v>
      </c>
      <c r="AF53" s="1">
        <f t="shared" si="41"/>
        <v>0</v>
      </c>
      <c r="AG53" s="1">
        <f t="shared" si="42"/>
        <v>0</v>
      </c>
      <c r="AH53" s="1">
        <f t="shared" si="43"/>
        <v>0</v>
      </c>
      <c r="AI53" s="23">
        <f t="shared" si="44"/>
        <v>0</v>
      </c>
      <c r="AJ53" s="23">
        <f t="shared" si="45"/>
        <v>0</v>
      </c>
      <c r="AK53" s="23">
        <f t="shared" si="46"/>
        <v>0</v>
      </c>
      <c r="AL53" s="23">
        <f t="shared" si="47"/>
        <v>0</v>
      </c>
      <c r="AM53" s="23">
        <f t="shared" si="48"/>
        <v>0</v>
      </c>
      <c r="AN53" s="23">
        <f t="shared" si="49"/>
        <v>0</v>
      </c>
      <c r="AQ53" s="32">
        <f t="shared" si="50"/>
        <v>42736</v>
      </c>
      <c r="AR53" s="32">
        <f t="shared" si="51"/>
        <v>42916</v>
      </c>
      <c r="AS53" s="52">
        <v>40</v>
      </c>
      <c r="AT53" s="1">
        <f t="shared" si="52"/>
        <v>0</v>
      </c>
      <c r="AU53" s="1">
        <f t="shared" si="53"/>
        <v>89</v>
      </c>
      <c r="AV53" s="1">
        <f t="shared" si="54"/>
        <v>0</v>
      </c>
      <c r="AW53" s="1">
        <f t="shared" si="55"/>
        <v>0</v>
      </c>
      <c r="AX53" s="1">
        <f t="shared" si="56"/>
        <v>0</v>
      </c>
      <c r="AY53" s="23">
        <f t="shared" si="57"/>
        <v>0.49171270718232046</v>
      </c>
      <c r="AZ53" s="23">
        <f t="shared" si="58"/>
        <v>0.57311211125677608</v>
      </c>
      <c r="BA53" s="23">
        <f t="shared" si="59"/>
        <v>22.924484450271045</v>
      </c>
      <c r="BB53" s="23">
        <f t="shared" si="60"/>
        <v>45.84896890054209</v>
      </c>
      <c r="BC53" s="23">
        <f t="shared" si="61"/>
        <v>0</v>
      </c>
      <c r="BD53" s="23">
        <f t="shared" si="62"/>
        <v>45.84896890054209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E80"/>
  <sheetViews>
    <sheetView topLeftCell="J59" workbookViewId="0">
      <selection activeCell="N65" sqref="N65"/>
    </sheetView>
  </sheetViews>
  <sheetFormatPr defaultRowHeight="15"/>
  <cols>
    <col min="1" max="1" width="4" style="1" customWidth="1"/>
    <col min="2" max="2" width="11.42578125" style="1" customWidth="1"/>
    <col min="3" max="3" width="7.28515625" style="1" customWidth="1"/>
    <col min="4" max="4" width="18" style="1" customWidth="1"/>
    <col min="5" max="5" width="21" style="1" customWidth="1"/>
    <col min="6" max="6" width="15.28515625" style="1" customWidth="1"/>
    <col min="7" max="7" width="11" style="1" customWidth="1"/>
    <col min="8" max="8" width="50.85546875" style="1" customWidth="1"/>
    <col min="9" max="9" width="30.7109375" style="1" customWidth="1"/>
    <col min="10" max="10" width="8.85546875" style="1" customWidth="1"/>
    <col min="11" max="12" width="8.42578125" style="1" customWidth="1"/>
    <col min="13" max="13" width="12.42578125" style="1" customWidth="1"/>
    <col min="14" max="14" width="69.28515625" style="1" customWidth="1"/>
    <col min="15" max="15" width="13.42578125" style="32" customWidth="1"/>
    <col min="16" max="16" width="12.85546875" style="32" customWidth="1"/>
    <col min="17" max="17" width="8.28515625" style="1" customWidth="1"/>
    <col min="18" max="18" width="7.140625" style="1" customWidth="1"/>
    <col min="19" max="19" width="8.85546875" style="1" customWidth="1"/>
    <col min="20" max="20" width="2.7109375" style="1" customWidth="1"/>
    <col min="21" max="21" width="6.85546875" style="1" customWidth="1"/>
    <col min="22" max="22" width="6.85546875" style="31" customWidth="1"/>
    <col min="23" max="23" width="9.85546875" style="31" customWidth="1"/>
    <col min="24" max="24" width="8.7109375" style="31" customWidth="1"/>
    <col min="25" max="25" width="2.5703125" style="31" customWidth="1"/>
    <col min="26" max="26" width="8.7109375" style="31" customWidth="1"/>
    <col min="27" max="27" width="11.5703125" style="32" customWidth="1"/>
    <col min="28" max="28" width="11.28515625" style="32" customWidth="1"/>
    <col min="29" max="29" width="8.42578125" style="1" customWidth="1"/>
    <col min="30" max="30" width="7.5703125" style="1" customWidth="1"/>
    <col min="31" max="31" width="7.7109375" style="1" customWidth="1"/>
    <col min="32" max="32" width="8" style="1" customWidth="1"/>
    <col min="33" max="33" width="7.5703125" style="1" customWidth="1"/>
    <col min="34" max="34" width="8.85546875" style="1" customWidth="1"/>
    <col min="35" max="35" width="9" style="23" customWidth="1"/>
    <col min="36" max="36" width="8.28515625" style="23" customWidth="1"/>
    <col min="37" max="37" width="8.7109375" style="23" customWidth="1"/>
    <col min="38" max="38" width="10.140625" style="23" customWidth="1"/>
    <col min="39" max="39" width="9.140625" style="23" customWidth="1"/>
    <col min="40" max="40" width="10.42578125" style="23" customWidth="1"/>
    <col min="41" max="41" width="3.140625" style="23" customWidth="1"/>
    <col min="42" max="42" width="8.140625" style="23" customWidth="1"/>
    <col min="43" max="43" width="11.42578125" style="32" customWidth="1"/>
    <col min="44" max="44" width="11.85546875" style="32" customWidth="1"/>
    <col min="45" max="45" width="8.570312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55</v>
      </c>
      <c r="C4" s="1" t="s">
        <v>22</v>
      </c>
      <c r="D4" s="1" t="s">
        <v>56</v>
      </c>
      <c r="E4" s="51" t="s">
        <v>107</v>
      </c>
      <c r="F4" s="51" t="s">
        <v>108</v>
      </c>
      <c r="G4" s="51" t="s">
        <v>109</v>
      </c>
      <c r="H4" s="1" t="s">
        <v>275</v>
      </c>
      <c r="I4" s="1" t="s">
        <v>128</v>
      </c>
      <c r="J4" s="51" t="s">
        <v>112</v>
      </c>
      <c r="K4" s="51" t="s">
        <v>112</v>
      </c>
      <c r="L4" s="51" t="s">
        <v>112</v>
      </c>
      <c r="M4" s="1">
        <v>349813</v>
      </c>
      <c r="N4" s="56" t="s">
        <v>1018</v>
      </c>
      <c r="O4" s="55">
        <f>DATE(2010,2,22)</f>
        <v>40231</v>
      </c>
      <c r="P4" s="55">
        <f>DATE(2013,12,20)</f>
        <v>41628</v>
      </c>
      <c r="Q4" s="51">
        <v>3970</v>
      </c>
      <c r="S4" s="51">
        <v>2.5</v>
      </c>
      <c r="U4" s="1">
        <f t="shared" ref="U4:U35" si="0">P4-O4+1</f>
        <v>1398</v>
      </c>
      <c r="V4" s="31">
        <f t="shared" ref="V4:V35" si="1">Q4/U4</f>
        <v>2.8397711015736768</v>
      </c>
      <c r="W4" s="31">
        <f t="shared" ref="W4:W35" si="2">IF(U4&gt;365,V4*365,Q4)</f>
        <v>1036.516452074392</v>
      </c>
      <c r="X4" s="31">
        <f t="shared" ref="X4:X35" si="3">IF(U4&gt;365,W4/800,Q4/800)</f>
        <v>1.2956455650929899</v>
      </c>
      <c r="AA4" s="32">
        <f t="shared" ref="AA4:AA35" si="4">DATE(2016,7,1)</f>
        <v>42552</v>
      </c>
      <c r="AB4" s="32">
        <f t="shared" ref="AB4:AB35" si="5">DATE(2016,12,31)</f>
        <v>42735</v>
      </c>
      <c r="AC4" s="50">
        <v>4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0.64782278254649495</v>
      </c>
      <c r="AK4" s="23">
        <f t="shared" ref="AK4:AK35" si="13">IF(AH4=0,AJ4*AC4,IF(AA4-P4&gt;1095,0,AJ4*(AC4/2)))</f>
        <v>1.2956455650929899</v>
      </c>
      <c r="AL4" s="23">
        <f t="shared" ref="AL4:AL35" si="14">AK4*S4</f>
        <v>3.2391139127324746</v>
      </c>
      <c r="AM4" s="23">
        <f t="shared" ref="AM4:AM35" si="15">IF(J4="SIM",AL4*50%,0)</f>
        <v>0</v>
      </c>
      <c r="AN4" s="23">
        <f t="shared" ref="AN4:AN35" si="16">AL4+AM4</f>
        <v>3.2391139127324746</v>
      </c>
      <c r="AQ4" s="32">
        <f t="shared" ref="AQ4:AQ35" si="17">DATE(2017,1,1)</f>
        <v>42736</v>
      </c>
      <c r="AR4" s="32">
        <f t="shared" ref="AR4:AR35" si="18">DATE(2017,6,30)</f>
        <v>42916</v>
      </c>
      <c r="AS4" s="56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0.64782278254649495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55</v>
      </c>
      <c r="C5" s="1" t="s">
        <v>22</v>
      </c>
      <c r="D5" s="1" t="s">
        <v>56</v>
      </c>
      <c r="E5" s="51" t="s">
        <v>107</v>
      </c>
      <c r="F5" s="51" t="s">
        <v>114</v>
      </c>
      <c r="G5" s="51" t="s">
        <v>109</v>
      </c>
      <c r="H5" s="1" t="s">
        <v>130</v>
      </c>
      <c r="I5" s="1" t="s">
        <v>131</v>
      </c>
      <c r="J5" s="51" t="s">
        <v>112</v>
      </c>
      <c r="K5" s="51" t="s">
        <v>112</v>
      </c>
      <c r="L5" s="51" t="s">
        <v>112</v>
      </c>
      <c r="M5" s="1">
        <v>395184</v>
      </c>
      <c r="N5" s="56" t="s">
        <v>1019</v>
      </c>
      <c r="O5" s="55">
        <f>DATE(2010,6,1)</f>
        <v>40330</v>
      </c>
      <c r="P5" s="55">
        <f>DATE(2013,12,20)</f>
        <v>41628</v>
      </c>
      <c r="Q5" s="51">
        <v>3360</v>
      </c>
      <c r="S5" s="51">
        <v>2.5</v>
      </c>
      <c r="U5" s="1">
        <f t="shared" si="0"/>
        <v>1299</v>
      </c>
      <c r="V5" s="31">
        <f t="shared" si="1"/>
        <v>2.5866050808314087</v>
      </c>
      <c r="W5" s="31">
        <f t="shared" si="2"/>
        <v>944.11085450346422</v>
      </c>
      <c r="X5" s="31">
        <f t="shared" si="3"/>
        <v>1.1801385681293304</v>
      </c>
      <c r="AA5" s="32">
        <f t="shared" si="4"/>
        <v>42552</v>
      </c>
      <c r="AB5" s="32">
        <f t="shared" si="5"/>
        <v>42735</v>
      </c>
      <c r="AC5" s="50">
        <v>1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0.59006928406466519</v>
      </c>
      <c r="AK5" s="23">
        <f t="shared" si="13"/>
        <v>0.29503464203233259</v>
      </c>
      <c r="AL5" s="23">
        <f t="shared" si="14"/>
        <v>0.73758660508083151</v>
      </c>
      <c r="AM5" s="23">
        <f t="shared" si="15"/>
        <v>0</v>
      </c>
      <c r="AN5" s="23">
        <f t="shared" si="16"/>
        <v>0.73758660508083151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0.59006928406466519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55</v>
      </c>
      <c r="C6" s="1" t="s">
        <v>22</v>
      </c>
      <c r="D6" s="1" t="s">
        <v>56</v>
      </c>
      <c r="E6" s="51" t="s">
        <v>107</v>
      </c>
      <c r="F6" s="51" t="s">
        <v>108</v>
      </c>
      <c r="G6" s="51" t="s">
        <v>109</v>
      </c>
      <c r="H6" s="1" t="s">
        <v>179</v>
      </c>
      <c r="I6" s="1" t="s">
        <v>125</v>
      </c>
      <c r="J6" s="51" t="s">
        <v>112</v>
      </c>
      <c r="K6" s="51" t="s">
        <v>112</v>
      </c>
      <c r="L6" s="51" t="s">
        <v>112</v>
      </c>
      <c r="M6" s="1">
        <v>806426</v>
      </c>
      <c r="N6" s="50" t="s">
        <v>1020</v>
      </c>
      <c r="O6" s="55">
        <f>DATE(2011,2,1)</f>
        <v>40575</v>
      </c>
      <c r="P6" s="55">
        <f>DATE(2014,12,19)</f>
        <v>41992</v>
      </c>
      <c r="Q6" s="51">
        <v>3751</v>
      </c>
      <c r="S6" s="51">
        <v>2</v>
      </c>
      <c r="U6" s="1">
        <f t="shared" si="0"/>
        <v>1418</v>
      </c>
      <c r="V6" s="31">
        <f t="shared" si="1"/>
        <v>2.6452750352609309</v>
      </c>
      <c r="W6" s="31">
        <f t="shared" si="2"/>
        <v>965.5253878702398</v>
      </c>
      <c r="X6" s="31">
        <f t="shared" si="3"/>
        <v>1.2069067348377998</v>
      </c>
      <c r="AA6" s="32">
        <f t="shared" si="4"/>
        <v>42552</v>
      </c>
      <c r="AB6" s="32">
        <f t="shared" si="5"/>
        <v>42735</v>
      </c>
      <c r="AC6" s="50">
        <v>8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0.60345336741889988</v>
      </c>
      <c r="AK6" s="23">
        <f t="shared" si="13"/>
        <v>2.4138134696755995</v>
      </c>
      <c r="AL6" s="23">
        <f t="shared" si="14"/>
        <v>4.827626939351199</v>
      </c>
      <c r="AM6" s="23">
        <f t="shared" si="15"/>
        <v>0</v>
      </c>
      <c r="AN6" s="23">
        <f t="shared" si="16"/>
        <v>4.827626939351199</v>
      </c>
      <c r="AQ6" s="32">
        <f t="shared" si="17"/>
        <v>42736</v>
      </c>
      <c r="AR6" s="32">
        <f t="shared" si="18"/>
        <v>42916</v>
      </c>
      <c r="AS6" s="50">
        <v>7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0.60345336741889988</v>
      </c>
      <c r="BA6" s="23">
        <f t="shared" si="26"/>
        <v>2.1120867859661496</v>
      </c>
      <c r="BB6" s="23">
        <f t="shared" si="27"/>
        <v>4.2241735719322993</v>
      </c>
      <c r="BC6" s="23">
        <f t="shared" si="28"/>
        <v>0</v>
      </c>
      <c r="BD6" s="23">
        <f t="shared" si="29"/>
        <v>4.2241735719322993</v>
      </c>
    </row>
    <row r="7" spans="1:57">
      <c r="A7" s="1" t="s">
        <v>20</v>
      </c>
      <c r="B7" s="1" t="s">
        <v>55</v>
      </c>
      <c r="C7" s="1" t="s">
        <v>22</v>
      </c>
      <c r="D7" s="1" t="s">
        <v>56</v>
      </c>
      <c r="E7" s="51" t="s">
        <v>107</v>
      </c>
      <c r="F7" s="51" t="s">
        <v>108</v>
      </c>
      <c r="G7" s="51" t="s">
        <v>109</v>
      </c>
      <c r="H7" s="1" t="s">
        <v>110</v>
      </c>
      <c r="I7" s="1" t="s">
        <v>111</v>
      </c>
      <c r="J7" s="51" t="s">
        <v>112</v>
      </c>
      <c r="K7" s="51" t="s">
        <v>112</v>
      </c>
      <c r="L7" s="51" t="s">
        <v>112</v>
      </c>
      <c r="M7" s="1">
        <v>806427</v>
      </c>
      <c r="N7" s="50" t="s">
        <v>272</v>
      </c>
      <c r="O7" s="55">
        <f>DATE(2011,2,1)</f>
        <v>40575</v>
      </c>
      <c r="P7" s="55">
        <f>DATE(2014,6,30)</f>
        <v>41820</v>
      </c>
      <c r="Q7" s="51">
        <v>3411</v>
      </c>
      <c r="S7" s="51">
        <v>2</v>
      </c>
      <c r="U7" s="1">
        <f t="shared" si="0"/>
        <v>1246</v>
      </c>
      <c r="V7" s="31">
        <f t="shared" si="1"/>
        <v>2.7375601926163724</v>
      </c>
      <c r="W7" s="31">
        <f t="shared" si="2"/>
        <v>999.20947030497598</v>
      </c>
      <c r="X7" s="31">
        <f t="shared" si="3"/>
        <v>1.2490118378812201</v>
      </c>
      <c r="AA7" s="32">
        <f t="shared" si="4"/>
        <v>42552</v>
      </c>
      <c r="AB7" s="32">
        <f t="shared" si="5"/>
        <v>42735</v>
      </c>
      <c r="AC7" s="50">
        <v>1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0.62450591894061003</v>
      </c>
      <c r="AK7" s="23">
        <f t="shared" si="13"/>
        <v>0.31225295947030501</v>
      </c>
      <c r="AL7" s="23">
        <f t="shared" si="14"/>
        <v>0.62450591894061003</v>
      </c>
      <c r="AM7" s="23">
        <f t="shared" si="15"/>
        <v>0</v>
      </c>
      <c r="AN7" s="23">
        <f t="shared" si="16"/>
        <v>0.62450591894061003</v>
      </c>
      <c r="AQ7" s="32">
        <f t="shared" si="17"/>
        <v>42736</v>
      </c>
      <c r="AR7" s="32">
        <f t="shared" si="18"/>
        <v>42916</v>
      </c>
      <c r="AS7" s="50">
        <v>1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0.62450591894061003</v>
      </c>
      <c r="BA7" s="23">
        <f t="shared" si="26"/>
        <v>0.31225295947030501</v>
      </c>
      <c r="BB7" s="23">
        <f t="shared" si="27"/>
        <v>0.62450591894061003</v>
      </c>
      <c r="BC7" s="23">
        <f t="shared" si="28"/>
        <v>0</v>
      </c>
      <c r="BD7" s="23">
        <f t="shared" si="29"/>
        <v>0.62450591894061003</v>
      </c>
    </row>
    <row r="8" spans="1:57">
      <c r="A8" s="1" t="s">
        <v>20</v>
      </c>
      <c r="B8" s="1" t="s">
        <v>55</v>
      </c>
      <c r="C8" s="1" t="s">
        <v>22</v>
      </c>
      <c r="D8" s="1" t="s">
        <v>56</v>
      </c>
      <c r="E8" s="51" t="s">
        <v>107</v>
      </c>
      <c r="F8" s="51" t="s">
        <v>108</v>
      </c>
      <c r="G8" s="51" t="s">
        <v>109</v>
      </c>
      <c r="H8" s="1" t="s">
        <v>275</v>
      </c>
      <c r="I8" s="1" t="s">
        <v>128</v>
      </c>
      <c r="J8" s="51" t="s">
        <v>112</v>
      </c>
      <c r="K8" s="51" t="s">
        <v>112</v>
      </c>
      <c r="L8" s="51" t="s">
        <v>112</v>
      </c>
      <c r="M8" s="1">
        <v>806428</v>
      </c>
      <c r="N8" s="50" t="s">
        <v>1021</v>
      </c>
      <c r="O8" s="55">
        <f>DATE(2011,2,1)</f>
        <v>40575</v>
      </c>
      <c r="P8" s="55">
        <f>DATE(2014,12,19)</f>
        <v>41992</v>
      </c>
      <c r="Q8" s="51">
        <v>3971</v>
      </c>
      <c r="S8" s="51">
        <v>2.5</v>
      </c>
      <c r="U8" s="1">
        <f t="shared" si="0"/>
        <v>1418</v>
      </c>
      <c r="V8" s="31">
        <f t="shared" si="1"/>
        <v>2.8004231311706631</v>
      </c>
      <c r="W8" s="31">
        <f t="shared" si="2"/>
        <v>1022.154442877292</v>
      </c>
      <c r="X8" s="31">
        <f t="shared" si="3"/>
        <v>1.2776930535966151</v>
      </c>
      <c r="AA8" s="32">
        <f t="shared" si="4"/>
        <v>42552</v>
      </c>
      <c r="AB8" s="32">
        <f t="shared" si="5"/>
        <v>42735</v>
      </c>
      <c r="AC8" s="50">
        <v>4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0.63884652679830756</v>
      </c>
      <c r="AK8" s="23">
        <f t="shared" si="13"/>
        <v>1.2776930535966151</v>
      </c>
      <c r="AL8" s="23">
        <f t="shared" si="14"/>
        <v>3.1942326339915379</v>
      </c>
      <c r="AM8" s="23">
        <f t="shared" si="15"/>
        <v>0</v>
      </c>
      <c r="AN8" s="23">
        <f t="shared" si="16"/>
        <v>3.1942326339915379</v>
      </c>
      <c r="AQ8" s="32">
        <f t="shared" si="17"/>
        <v>42736</v>
      </c>
      <c r="AR8" s="32">
        <f t="shared" si="18"/>
        <v>42916</v>
      </c>
      <c r="AS8" s="50">
        <v>4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0.63884652679830756</v>
      </c>
      <c r="BA8" s="23">
        <f t="shared" si="26"/>
        <v>1.2776930535966151</v>
      </c>
      <c r="BB8" s="23">
        <f t="shared" si="27"/>
        <v>3.1942326339915379</v>
      </c>
      <c r="BC8" s="23">
        <f t="shared" si="28"/>
        <v>0</v>
      </c>
      <c r="BD8" s="23">
        <f t="shared" si="29"/>
        <v>3.1942326339915379</v>
      </c>
    </row>
    <row r="9" spans="1:57">
      <c r="A9" s="1" t="s">
        <v>20</v>
      </c>
      <c r="B9" s="1" t="s">
        <v>55</v>
      </c>
      <c r="C9" s="1" t="s">
        <v>22</v>
      </c>
      <c r="D9" s="1" t="s">
        <v>56</v>
      </c>
      <c r="E9" s="51" t="s">
        <v>107</v>
      </c>
      <c r="F9" s="51" t="s">
        <v>114</v>
      </c>
      <c r="G9" s="51" t="s">
        <v>109</v>
      </c>
      <c r="H9" s="1" t="s">
        <v>130</v>
      </c>
      <c r="I9" s="1" t="s">
        <v>131</v>
      </c>
      <c r="J9" s="51" t="s">
        <v>112</v>
      </c>
      <c r="K9" s="51" t="s">
        <v>112</v>
      </c>
      <c r="L9" s="51" t="s">
        <v>112</v>
      </c>
      <c r="M9" s="1">
        <v>806437</v>
      </c>
      <c r="N9" s="56" t="s">
        <v>1022</v>
      </c>
      <c r="O9" s="55">
        <f>DATE(2011,2,28)</f>
        <v>40602</v>
      </c>
      <c r="P9" s="55">
        <f>DATE(2013,12,20)</f>
        <v>41628</v>
      </c>
      <c r="Q9" s="51">
        <v>3280</v>
      </c>
      <c r="S9" s="51">
        <v>2.5</v>
      </c>
      <c r="U9" s="1">
        <f t="shared" si="0"/>
        <v>1027</v>
      </c>
      <c r="V9" s="31">
        <f t="shared" si="1"/>
        <v>3.1937682570593964</v>
      </c>
      <c r="W9" s="31">
        <f t="shared" si="2"/>
        <v>1165.7254138266796</v>
      </c>
      <c r="X9" s="31">
        <f t="shared" si="3"/>
        <v>1.4571567672833496</v>
      </c>
      <c r="AA9" s="32">
        <f t="shared" si="4"/>
        <v>42552</v>
      </c>
      <c r="AB9" s="32">
        <f t="shared" si="5"/>
        <v>42735</v>
      </c>
      <c r="AC9" s="50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0.72857838364167482</v>
      </c>
      <c r="AK9" s="23">
        <f t="shared" si="13"/>
        <v>0.72857838364167482</v>
      </c>
      <c r="AL9" s="23">
        <f t="shared" si="14"/>
        <v>1.8214459591041869</v>
      </c>
      <c r="AM9" s="23">
        <f t="shared" si="15"/>
        <v>0</v>
      </c>
      <c r="AN9" s="23">
        <f t="shared" si="16"/>
        <v>1.8214459591041869</v>
      </c>
      <c r="AQ9" s="32">
        <f t="shared" si="17"/>
        <v>42736</v>
      </c>
      <c r="AR9" s="32">
        <f t="shared" si="18"/>
        <v>42916</v>
      </c>
      <c r="AS9" s="56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0.72857838364167482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55</v>
      </c>
      <c r="C10" s="1" t="s">
        <v>22</v>
      </c>
      <c r="D10" s="1" t="s">
        <v>56</v>
      </c>
      <c r="E10" s="51" t="s">
        <v>107</v>
      </c>
      <c r="F10" s="51" t="s">
        <v>294</v>
      </c>
      <c r="G10" s="51" t="s">
        <v>109</v>
      </c>
      <c r="H10" s="1" t="s">
        <v>297</v>
      </c>
      <c r="I10" s="1" t="s">
        <v>147</v>
      </c>
      <c r="J10" s="51" t="s">
        <v>112</v>
      </c>
      <c r="K10" s="51" t="s">
        <v>112</v>
      </c>
      <c r="L10" s="51" t="s">
        <v>112</v>
      </c>
      <c r="M10" s="1">
        <v>806447</v>
      </c>
      <c r="N10" s="56" t="s">
        <v>827</v>
      </c>
      <c r="O10" s="55">
        <f>DATE(2011,2,28)</f>
        <v>40602</v>
      </c>
      <c r="P10" s="55">
        <f>DATE(2013,12,20)</f>
        <v>41628</v>
      </c>
      <c r="Q10" s="51">
        <v>2532</v>
      </c>
      <c r="S10" s="51">
        <v>2</v>
      </c>
      <c r="U10" s="1">
        <f t="shared" si="0"/>
        <v>1027</v>
      </c>
      <c r="V10" s="31">
        <f t="shared" si="1"/>
        <v>2.4654333008763389</v>
      </c>
      <c r="W10" s="31">
        <f t="shared" si="2"/>
        <v>899.88315481986376</v>
      </c>
      <c r="X10" s="31">
        <f t="shared" si="3"/>
        <v>1.1248539435248297</v>
      </c>
      <c r="AA10" s="32">
        <f t="shared" si="4"/>
        <v>42552</v>
      </c>
      <c r="AB10" s="32">
        <f t="shared" si="5"/>
        <v>42735</v>
      </c>
      <c r="AC10" s="50">
        <v>5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0.56242697176241485</v>
      </c>
      <c r="AK10" s="23">
        <f t="shared" si="13"/>
        <v>1.4060674294060371</v>
      </c>
      <c r="AL10" s="23">
        <f t="shared" si="14"/>
        <v>2.8121348588120743</v>
      </c>
      <c r="AM10" s="23">
        <f t="shared" si="15"/>
        <v>0</v>
      </c>
      <c r="AN10" s="23">
        <f t="shared" si="16"/>
        <v>2.8121348588120743</v>
      </c>
      <c r="AQ10" s="32">
        <f t="shared" si="17"/>
        <v>42736</v>
      </c>
      <c r="AR10" s="32">
        <f t="shared" si="18"/>
        <v>42916</v>
      </c>
      <c r="AS10" s="56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0.56242697176241485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55</v>
      </c>
      <c r="C11" s="1" t="s">
        <v>22</v>
      </c>
      <c r="D11" s="1" t="s">
        <v>56</v>
      </c>
      <c r="E11" s="51" t="s">
        <v>107</v>
      </c>
      <c r="F11" s="51" t="s">
        <v>114</v>
      </c>
      <c r="G11" s="51" t="s">
        <v>109</v>
      </c>
      <c r="H11" s="1" t="s">
        <v>120</v>
      </c>
      <c r="I11" s="1" t="s">
        <v>111</v>
      </c>
      <c r="J11" s="51" t="s">
        <v>112</v>
      </c>
      <c r="K11" s="51" t="s">
        <v>112</v>
      </c>
      <c r="L11" s="51" t="s">
        <v>112</v>
      </c>
      <c r="M11" s="1">
        <v>854231</v>
      </c>
      <c r="N11" s="56" t="s">
        <v>1023</v>
      </c>
      <c r="O11" s="55">
        <f>DATE(2011,7,4)</f>
        <v>40728</v>
      </c>
      <c r="P11" s="55">
        <f>DATE(2014,12,19)</f>
        <v>41992</v>
      </c>
      <c r="Q11" s="51">
        <v>3360</v>
      </c>
      <c r="S11" s="51">
        <v>2.5</v>
      </c>
      <c r="U11" s="1">
        <f t="shared" si="0"/>
        <v>1265</v>
      </c>
      <c r="V11" s="31">
        <f t="shared" si="1"/>
        <v>2.6561264822134389</v>
      </c>
      <c r="W11" s="31">
        <f t="shared" si="2"/>
        <v>969.48616600790524</v>
      </c>
      <c r="X11" s="31">
        <f t="shared" si="3"/>
        <v>1.2118577075098815</v>
      </c>
      <c r="AA11" s="32">
        <f t="shared" si="4"/>
        <v>42552</v>
      </c>
      <c r="AB11" s="32">
        <f t="shared" si="5"/>
        <v>42735</v>
      </c>
      <c r="AC11" s="50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0.60592885375494077</v>
      </c>
      <c r="AK11" s="23">
        <f t="shared" si="13"/>
        <v>0.30296442687747038</v>
      </c>
      <c r="AL11" s="23">
        <f t="shared" si="14"/>
        <v>0.75741106719367601</v>
      </c>
      <c r="AM11" s="23">
        <f t="shared" si="15"/>
        <v>0</v>
      </c>
      <c r="AN11" s="23">
        <f t="shared" si="16"/>
        <v>0.75741106719367601</v>
      </c>
      <c r="AQ11" s="32">
        <f t="shared" si="17"/>
        <v>42736</v>
      </c>
      <c r="AR11" s="32">
        <f t="shared" si="18"/>
        <v>42916</v>
      </c>
      <c r="AS11" s="56">
        <v>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0.60592885375494077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>
      <c r="A12" s="48" t="s">
        <v>20</v>
      </c>
      <c r="B12" s="1" t="s">
        <v>55</v>
      </c>
      <c r="C12" s="1" t="s">
        <v>22</v>
      </c>
      <c r="D12" s="1" t="s">
        <v>56</v>
      </c>
      <c r="E12" s="51" t="s">
        <v>107</v>
      </c>
      <c r="F12" s="51" t="s">
        <v>294</v>
      </c>
      <c r="G12" s="51" t="s">
        <v>109</v>
      </c>
      <c r="H12" s="1" t="s">
        <v>1024</v>
      </c>
      <c r="I12" s="1" t="s">
        <v>111</v>
      </c>
      <c r="J12" s="51" t="s">
        <v>112</v>
      </c>
      <c r="K12" s="51" t="s">
        <v>112</v>
      </c>
      <c r="L12" s="51" t="s">
        <v>112</v>
      </c>
      <c r="M12" s="1">
        <v>1253637</v>
      </c>
      <c r="N12" s="50" t="s">
        <v>1025</v>
      </c>
      <c r="O12" s="55">
        <f t="shared" ref="O12:O17" si="30">DATE(2012,3,12)</f>
        <v>40980</v>
      </c>
      <c r="P12" s="55">
        <f>DATE(2014,12,23)</f>
        <v>41996</v>
      </c>
      <c r="Q12" s="51">
        <v>2059</v>
      </c>
      <c r="S12" s="51">
        <v>2.5</v>
      </c>
      <c r="U12" s="1">
        <f t="shared" si="0"/>
        <v>1017</v>
      </c>
      <c r="V12" s="31">
        <f t="shared" si="1"/>
        <v>2.0245821042281218</v>
      </c>
      <c r="W12" s="31">
        <f t="shared" si="2"/>
        <v>738.97246804326448</v>
      </c>
      <c r="X12" s="31">
        <f t="shared" si="3"/>
        <v>0.92371558505408058</v>
      </c>
      <c r="AA12" s="32">
        <f t="shared" si="4"/>
        <v>42552</v>
      </c>
      <c r="AB12" s="32">
        <f t="shared" si="5"/>
        <v>42735</v>
      </c>
      <c r="AC12" s="50">
        <v>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0.46185779252704029</v>
      </c>
      <c r="AK12" s="23">
        <f t="shared" si="13"/>
        <v>0.46185779252704029</v>
      </c>
      <c r="AL12" s="23">
        <f t="shared" si="14"/>
        <v>1.1546444813176007</v>
      </c>
      <c r="AM12" s="23">
        <f t="shared" si="15"/>
        <v>0</v>
      </c>
      <c r="AN12" s="23">
        <f t="shared" si="16"/>
        <v>1.1546444813176007</v>
      </c>
      <c r="AQ12" s="32">
        <f t="shared" si="17"/>
        <v>42736</v>
      </c>
      <c r="AR12" s="32">
        <f t="shared" si="18"/>
        <v>42916</v>
      </c>
      <c r="AS12" s="50">
        <v>2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0.46185779252704029</v>
      </c>
      <c r="BA12" s="23">
        <f t="shared" si="26"/>
        <v>0.46185779252704029</v>
      </c>
      <c r="BB12" s="23">
        <f t="shared" si="27"/>
        <v>1.1546444813176007</v>
      </c>
      <c r="BC12" s="23">
        <f t="shared" si="28"/>
        <v>0</v>
      </c>
      <c r="BD12" s="23">
        <f t="shared" si="29"/>
        <v>1.1546444813176007</v>
      </c>
    </row>
    <row r="13" spans="1:57">
      <c r="A13" s="1" t="s">
        <v>20</v>
      </c>
      <c r="B13" s="1" t="s">
        <v>55</v>
      </c>
      <c r="C13" s="1" t="s">
        <v>22</v>
      </c>
      <c r="D13" s="1" t="s">
        <v>56</v>
      </c>
      <c r="E13" s="51" t="s">
        <v>107</v>
      </c>
      <c r="F13" s="51" t="s">
        <v>294</v>
      </c>
      <c r="G13" s="51" t="s">
        <v>109</v>
      </c>
      <c r="H13" s="1" t="s">
        <v>297</v>
      </c>
      <c r="I13" s="1" t="s">
        <v>147</v>
      </c>
      <c r="J13" s="51" t="s">
        <v>112</v>
      </c>
      <c r="K13" s="51" t="s">
        <v>112</v>
      </c>
      <c r="L13" s="51" t="s">
        <v>112</v>
      </c>
      <c r="M13" s="1">
        <v>1253639</v>
      </c>
      <c r="N13" s="50" t="s">
        <v>327</v>
      </c>
      <c r="O13" s="55">
        <f t="shared" si="30"/>
        <v>40980</v>
      </c>
      <c r="P13" s="55">
        <f>DATE(2014,12,23)</f>
        <v>41996</v>
      </c>
      <c r="Q13" s="51">
        <v>2342</v>
      </c>
      <c r="S13" s="51">
        <v>2</v>
      </c>
      <c r="U13" s="1">
        <f t="shared" si="0"/>
        <v>1017</v>
      </c>
      <c r="V13" s="31">
        <f t="shared" si="1"/>
        <v>2.3028515240904621</v>
      </c>
      <c r="W13" s="31">
        <f t="shared" si="2"/>
        <v>840.5408062930187</v>
      </c>
      <c r="X13" s="31">
        <f t="shared" si="3"/>
        <v>1.0506760078662734</v>
      </c>
      <c r="AA13" s="32">
        <f t="shared" si="4"/>
        <v>42552</v>
      </c>
      <c r="AB13" s="32">
        <f t="shared" si="5"/>
        <v>42735</v>
      </c>
      <c r="AC13" s="50">
        <v>2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0.52533800393313668</v>
      </c>
      <c r="AK13" s="23">
        <f t="shared" si="13"/>
        <v>0.52533800393313668</v>
      </c>
      <c r="AL13" s="23">
        <f t="shared" si="14"/>
        <v>1.0506760078662734</v>
      </c>
      <c r="AM13" s="23">
        <f t="shared" si="15"/>
        <v>0</v>
      </c>
      <c r="AN13" s="23">
        <f t="shared" si="16"/>
        <v>1.0506760078662734</v>
      </c>
      <c r="AQ13" s="32">
        <f t="shared" si="17"/>
        <v>42736</v>
      </c>
      <c r="AR13" s="32">
        <f t="shared" si="18"/>
        <v>42916</v>
      </c>
      <c r="AS13" s="50">
        <v>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0.52533800393313668</v>
      </c>
      <c r="BA13" s="23">
        <f t="shared" si="26"/>
        <v>0.52533800393313668</v>
      </c>
      <c r="BB13" s="23">
        <f t="shared" si="27"/>
        <v>1.0506760078662734</v>
      </c>
      <c r="BC13" s="23">
        <f t="shared" si="28"/>
        <v>0</v>
      </c>
      <c r="BD13" s="23">
        <f t="shared" si="29"/>
        <v>1.0506760078662734</v>
      </c>
    </row>
    <row r="14" spans="1:57">
      <c r="A14" s="1" t="s">
        <v>20</v>
      </c>
      <c r="B14" s="1" t="s">
        <v>55</v>
      </c>
      <c r="C14" s="1" t="s">
        <v>22</v>
      </c>
      <c r="D14" s="1" t="s">
        <v>56</v>
      </c>
      <c r="E14" s="51" t="s">
        <v>107</v>
      </c>
      <c r="F14" s="51" t="s">
        <v>114</v>
      </c>
      <c r="G14" s="51" t="s">
        <v>109</v>
      </c>
      <c r="H14" s="1" t="s">
        <v>130</v>
      </c>
      <c r="I14" s="1" t="s">
        <v>131</v>
      </c>
      <c r="J14" s="51" t="s">
        <v>112</v>
      </c>
      <c r="K14" s="51" t="s">
        <v>112</v>
      </c>
      <c r="L14" s="51" t="s">
        <v>112</v>
      </c>
      <c r="M14" s="1">
        <v>1253640</v>
      </c>
      <c r="N14" s="50" t="s">
        <v>325</v>
      </c>
      <c r="O14" s="55">
        <f t="shared" si="30"/>
        <v>40980</v>
      </c>
      <c r="P14" s="55">
        <f>DATE(2014,12,23)</f>
        <v>41996</v>
      </c>
      <c r="Q14" s="51">
        <v>2500</v>
      </c>
      <c r="S14" s="51">
        <v>2.5</v>
      </c>
      <c r="U14" s="1">
        <f t="shared" si="0"/>
        <v>1017</v>
      </c>
      <c r="V14" s="31">
        <f t="shared" si="1"/>
        <v>2.4582104228121926</v>
      </c>
      <c r="W14" s="31">
        <f t="shared" si="2"/>
        <v>897.24680432645027</v>
      </c>
      <c r="X14" s="31">
        <f t="shared" si="3"/>
        <v>1.1215585054080628</v>
      </c>
      <c r="AA14" s="32">
        <f t="shared" si="4"/>
        <v>42552</v>
      </c>
      <c r="AB14" s="32">
        <f t="shared" si="5"/>
        <v>42735</v>
      </c>
      <c r="AC14" s="50">
        <v>6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0.56077925270403139</v>
      </c>
      <c r="AK14" s="23">
        <f t="shared" si="13"/>
        <v>1.6823377581120942</v>
      </c>
      <c r="AL14" s="23">
        <f t="shared" si="14"/>
        <v>4.2058443952802351</v>
      </c>
      <c r="AM14" s="23">
        <f t="shared" si="15"/>
        <v>0</v>
      </c>
      <c r="AN14" s="23">
        <f t="shared" si="16"/>
        <v>4.2058443952802351</v>
      </c>
      <c r="AQ14" s="32">
        <f t="shared" si="17"/>
        <v>42736</v>
      </c>
      <c r="AR14" s="32">
        <f t="shared" si="18"/>
        <v>42916</v>
      </c>
      <c r="AS14" s="50">
        <v>2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0.56077925270403139</v>
      </c>
      <c r="BA14" s="23">
        <f t="shared" si="26"/>
        <v>0.56077925270403139</v>
      </c>
      <c r="BB14" s="23">
        <f t="shared" si="27"/>
        <v>1.4019481317600784</v>
      </c>
      <c r="BC14" s="23">
        <f t="shared" si="28"/>
        <v>0</v>
      </c>
      <c r="BD14" s="23">
        <f t="shared" si="29"/>
        <v>1.4019481317600784</v>
      </c>
    </row>
    <row r="15" spans="1:57">
      <c r="A15" s="1" t="s">
        <v>20</v>
      </c>
      <c r="B15" s="1" t="s">
        <v>55</v>
      </c>
      <c r="C15" s="1" t="s">
        <v>22</v>
      </c>
      <c r="D15" s="1" t="s">
        <v>56</v>
      </c>
      <c r="E15" s="51" t="s">
        <v>107</v>
      </c>
      <c r="F15" s="51" t="s">
        <v>108</v>
      </c>
      <c r="G15" s="51" t="s">
        <v>109</v>
      </c>
      <c r="H15" s="1" t="s">
        <v>275</v>
      </c>
      <c r="I15" s="1" t="s">
        <v>128</v>
      </c>
      <c r="J15" s="51" t="s">
        <v>112</v>
      </c>
      <c r="K15" s="51" t="s">
        <v>112</v>
      </c>
      <c r="L15" s="51" t="s">
        <v>112</v>
      </c>
      <c r="M15" s="1">
        <v>1253642</v>
      </c>
      <c r="N15" s="50" t="s">
        <v>1026</v>
      </c>
      <c r="O15" s="55">
        <f t="shared" si="30"/>
        <v>40980</v>
      </c>
      <c r="P15" s="55">
        <f>DATE(2015,12,22)</f>
        <v>42360</v>
      </c>
      <c r="Q15" s="51">
        <v>4250</v>
      </c>
      <c r="S15" s="51">
        <v>2.5</v>
      </c>
      <c r="U15" s="1">
        <f t="shared" si="0"/>
        <v>1381</v>
      </c>
      <c r="V15" s="31">
        <f t="shared" si="1"/>
        <v>3.0774800868935555</v>
      </c>
      <c r="W15" s="31">
        <f t="shared" si="2"/>
        <v>1123.2802317161477</v>
      </c>
      <c r="X15" s="31">
        <f t="shared" si="3"/>
        <v>1.4041002896451846</v>
      </c>
      <c r="AA15" s="32">
        <f t="shared" si="4"/>
        <v>42552</v>
      </c>
      <c r="AB15" s="32">
        <f t="shared" si="5"/>
        <v>42735</v>
      </c>
      <c r="AC15" s="50">
        <v>28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0.70205014482259231</v>
      </c>
      <c r="AK15" s="23">
        <f t="shared" si="13"/>
        <v>9.8287020275162931</v>
      </c>
      <c r="AL15" s="23">
        <f t="shared" si="14"/>
        <v>24.571755068790733</v>
      </c>
      <c r="AM15" s="23">
        <f t="shared" si="15"/>
        <v>0</v>
      </c>
      <c r="AN15" s="23">
        <f t="shared" si="16"/>
        <v>24.571755068790733</v>
      </c>
      <c r="AQ15" s="32">
        <f t="shared" si="17"/>
        <v>42736</v>
      </c>
      <c r="AR15" s="32">
        <f t="shared" si="18"/>
        <v>42916</v>
      </c>
      <c r="AS15" s="50">
        <v>26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0.70205014482259231</v>
      </c>
      <c r="BA15" s="23">
        <f t="shared" si="26"/>
        <v>9.1266518826937002</v>
      </c>
      <c r="BB15" s="23">
        <f t="shared" si="27"/>
        <v>22.816629706734251</v>
      </c>
      <c r="BC15" s="23">
        <f t="shared" si="28"/>
        <v>0</v>
      </c>
      <c r="BD15" s="23">
        <f t="shared" si="29"/>
        <v>22.816629706734251</v>
      </c>
    </row>
    <row r="16" spans="1:57">
      <c r="A16" s="1" t="s">
        <v>20</v>
      </c>
      <c r="B16" s="1" t="s">
        <v>55</v>
      </c>
      <c r="C16" s="1" t="s">
        <v>22</v>
      </c>
      <c r="D16" s="1" t="s">
        <v>56</v>
      </c>
      <c r="E16" s="51" t="s">
        <v>107</v>
      </c>
      <c r="F16" s="51" t="s">
        <v>108</v>
      </c>
      <c r="G16" s="51" t="s">
        <v>109</v>
      </c>
      <c r="H16" s="1" t="s">
        <v>937</v>
      </c>
      <c r="I16" s="1" t="s">
        <v>111</v>
      </c>
      <c r="J16" s="51" t="s">
        <v>112</v>
      </c>
      <c r="K16" s="51" t="s">
        <v>112</v>
      </c>
      <c r="L16" s="51" t="s">
        <v>112</v>
      </c>
      <c r="M16" s="1">
        <v>1259664</v>
      </c>
      <c r="N16" s="50" t="s">
        <v>1027</v>
      </c>
      <c r="O16" s="55">
        <f t="shared" si="30"/>
        <v>40980</v>
      </c>
      <c r="P16" s="55">
        <f>DATE(2015,6,30)</f>
        <v>42185</v>
      </c>
      <c r="Q16" s="51">
        <v>3810</v>
      </c>
      <c r="S16" s="51">
        <v>1.5</v>
      </c>
      <c r="U16" s="1">
        <f t="shared" si="0"/>
        <v>1206</v>
      </c>
      <c r="V16" s="31">
        <f t="shared" si="1"/>
        <v>3.1592039800995027</v>
      </c>
      <c r="W16" s="31">
        <f t="shared" si="2"/>
        <v>1153.1094527363184</v>
      </c>
      <c r="X16" s="31">
        <f t="shared" si="3"/>
        <v>1.441386815920398</v>
      </c>
      <c r="AA16" s="32">
        <f t="shared" si="4"/>
        <v>42552</v>
      </c>
      <c r="AB16" s="32">
        <f t="shared" si="5"/>
        <v>42735</v>
      </c>
      <c r="AC16" s="50">
        <v>9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0.72069340796019898</v>
      </c>
      <c r="AK16" s="23">
        <f t="shared" si="13"/>
        <v>3.2431203358208953</v>
      </c>
      <c r="AL16" s="23">
        <f t="shared" si="14"/>
        <v>4.8646805037313428</v>
      </c>
      <c r="AM16" s="23">
        <f t="shared" si="15"/>
        <v>0</v>
      </c>
      <c r="AN16" s="23">
        <f t="shared" si="16"/>
        <v>4.8646805037313428</v>
      </c>
      <c r="AQ16" s="32">
        <f t="shared" si="17"/>
        <v>42736</v>
      </c>
      <c r="AR16" s="32">
        <f t="shared" si="18"/>
        <v>42916</v>
      </c>
      <c r="AS16" s="50">
        <v>8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0.72069340796019898</v>
      </c>
      <c r="BA16" s="23">
        <f t="shared" si="26"/>
        <v>2.8827736318407959</v>
      </c>
      <c r="BB16" s="23">
        <f t="shared" si="27"/>
        <v>4.3241604477611943</v>
      </c>
      <c r="BC16" s="23">
        <f t="shared" si="28"/>
        <v>0</v>
      </c>
      <c r="BD16" s="23">
        <f t="shared" si="29"/>
        <v>4.3241604477611943</v>
      </c>
    </row>
    <row r="17" spans="1:56">
      <c r="A17" s="1" t="s">
        <v>20</v>
      </c>
      <c r="B17" s="1" t="s">
        <v>55</v>
      </c>
      <c r="C17" s="1" t="s">
        <v>22</v>
      </c>
      <c r="D17" s="1" t="s">
        <v>56</v>
      </c>
      <c r="E17" s="51" t="s">
        <v>107</v>
      </c>
      <c r="F17" s="51" t="s">
        <v>108</v>
      </c>
      <c r="G17" s="51" t="s">
        <v>109</v>
      </c>
      <c r="H17" s="1" t="s">
        <v>285</v>
      </c>
      <c r="I17" s="1" t="s">
        <v>125</v>
      </c>
      <c r="J17" s="51" t="s">
        <v>112</v>
      </c>
      <c r="K17" s="51" t="s">
        <v>148</v>
      </c>
      <c r="L17" s="51" t="s">
        <v>112</v>
      </c>
      <c r="M17" s="1">
        <v>1259665</v>
      </c>
      <c r="N17" s="50" t="s">
        <v>1028</v>
      </c>
      <c r="O17" s="55">
        <f t="shared" si="30"/>
        <v>40980</v>
      </c>
      <c r="P17" s="55">
        <f>DATE(2015,6,30)</f>
        <v>42185</v>
      </c>
      <c r="Q17" s="51">
        <v>2640</v>
      </c>
      <c r="S17" s="51">
        <v>2.5</v>
      </c>
      <c r="U17" s="1">
        <f t="shared" si="0"/>
        <v>1206</v>
      </c>
      <c r="V17" s="31">
        <f t="shared" si="1"/>
        <v>2.189054726368159</v>
      </c>
      <c r="W17" s="31">
        <f t="shared" si="2"/>
        <v>799.00497512437801</v>
      </c>
      <c r="X17" s="31">
        <f t="shared" si="3"/>
        <v>0.9987562189054725</v>
      </c>
      <c r="AA17" s="32">
        <f t="shared" si="4"/>
        <v>42552</v>
      </c>
      <c r="AB17" s="32">
        <f t="shared" si="5"/>
        <v>42735</v>
      </c>
      <c r="AC17" s="50">
        <v>17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0.49937810945273625</v>
      </c>
      <c r="AK17" s="23">
        <f t="shared" si="13"/>
        <v>4.2447139303482579</v>
      </c>
      <c r="AL17" s="23">
        <f t="shared" si="14"/>
        <v>10.611784825870645</v>
      </c>
      <c r="AM17" s="23">
        <f t="shared" si="15"/>
        <v>0</v>
      </c>
      <c r="AN17" s="23">
        <f t="shared" si="16"/>
        <v>10.611784825870645</v>
      </c>
      <c r="AQ17" s="32">
        <f t="shared" si="17"/>
        <v>42736</v>
      </c>
      <c r="AR17" s="32">
        <f t="shared" si="18"/>
        <v>42916</v>
      </c>
      <c r="AS17" s="50">
        <v>12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0.49937810945273625</v>
      </c>
      <c r="BA17" s="23">
        <f t="shared" si="26"/>
        <v>2.9962686567164174</v>
      </c>
      <c r="BB17" s="23">
        <f t="shared" si="27"/>
        <v>7.4906716417910433</v>
      </c>
      <c r="BC17" s="23">
        <f t="shared" si="28"/>
        <v>0</v>
      </c>
      <c r="BD17" s="23">
        <f t="shared" si="29"/>
        <v>7.4906716417910433</v>
      </c>
    </row>
    <row r="18" spans="1:56">
      <c r="A18" s="1" t="s">
        <v>20</v>
      </c>
      <c r="B18" s="1" t="s">
        <v>55</v>
      </c>
      <c r="C18" s="1" t="s">
        <v>22</v>
      </c>
      <c r="D18" s="1" t="s">
        <v>56</v>
      </c>
      <c r="E18" s="51" t="s">
        <v>107</v>
      </c>
      <c r="F18" s="51" t="s">
        <v>108</v>
      </c>
      <c r="G18" s="51" t="s">
        <v>109</v>
      </c>
      <c r="H18" s="1" t="s">
        <v>136</v>
      </c>
      <c r="I18" s="1" t="s">
        <v>131</v>
      </c>
      <c r="J18" s="51" t="s">
        <v>112</v>
      </c>
      <c r="K18" s="51" t="s">
        <v>112</v>
      </c>
      <c r="L18" s="51" t="s">
        <v>112</v>
      </c>
      <c r="M18" s="1">
        <v>1261738</v>
      </c>
      <c r="N18" s="56" t="s">
        <v>1029</v>
      </c>
      <c r="O18" s="55">
        <f>DATE(2012,8,1)</f>
        <v>41122</v>
      </c>
      <c r="P18" s="55">
        <f>DATE(2013,12,20)</f>
        <v>41628</v>
      </c>
      <c r="Q18" s="51">
        <v>1257</v>
      </c>
      <c r="S18" s="51">
        <v>1</v>
      </c>
      <c r="U18" s="1">
        <f t="shared" si="0"/>
        <v>507</v>
      </c>
      <c r="V18" s="31">
        <f t="shared" si="1"/>
        <v>2.4792899408284024</v>
      </c>
      <c r="W18" s="31">
        <f t="shared" si="2"/>
        <v>904.94082840236683</v>
      </c>
      <c r="X18" s="31">
        <f t="shared" si="3"/>
        <v>1.1311760355029585</v>
      </c>
      <c r="AA18" s="32">
        <f t="shared" si="4"/>
        <v>42552</v>
      </c>
      <c r="AB18" s="32">
        <f t="shared" si="5"/>
        <v>42735</v>
      </c>
      <c r="AC18" s="50">
        <v>3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0.56558801775147927</v>
      </c>
      <c r="AK18" s="23">
        <f t="shared" si="13"/>
        <v>0.84838202662721884</v>
      </c>
      <c r="AL18" s="23">
        <f t="shared" si="14"/>
        <v>0.84838202662721884</v>
      </c>
      <c r="AM18" s="23">
        <f t="shared" si="15"/>
        <v>0</v>
      </c>
      <c r="AN18" s="23">
        <f t="shared" si="16"/>
        <v>0.84838202662721884</v>
      </c>
      <c r="AQ18" s="32">
        <f t="shared" si="17"/>
        <v>42736</v>
      </c>
      <c r="AR18" s="32">
        <f t="shared" si="18"/>
        <v>42916</v>
      </c>
      <c r="AS18" s="56">
        <v>0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0.56558801775147927</v>
      </c>
      <c r="BA18" s="23">
        <f t="shared" si="26"/>
        <v>0</v>
      </c>
      <c r="BB18" s="23">
        <f t="shared" si="27"/>
        <v>0</v>
      </c>
      <c r="BC18" s="23">
        <f t="shared" si="28"/>
        <v>0</v>
      </c>
      <c r="BD18" s="23">
        <f t="shared" si="29"/>
        <v>0</v>
      </c>
    </row>
    <row r="19" spans="1:56">
      <c r="A19" s="1" t="s">
        <v>20</v>
      </c>
      <c r="B19" s="1" t="s">
        <v>55</v>
      </c>
      <c r="C19" s="1" t="s">
        <v>22</v>
      </c>
      <c r="D19" s="1" t="s">
        <v>56</v>
      </c>
      <c r="E19" s="51" t="s">
        <v>107</v>
      </c>
      <c r="F19" s="51" t="s">
        <v>108</v>
      </c>
      <c r="G19" s="51" t="s">
        <v>109</v>
      </c>
      <c r="H19" s="1" t="s">
        <v>124</v>
      </c>
      <c r="I19" s="1" t="s">
        <v>125</v>
      </c>
      <c r="J19" s="51" t="s">
        <v>112</v>
      </c>
      <c r="K19" s="51" t="s">
        <v>112</v>
      </c>
      <c r="L19" s="51" t="s">
        <v>112</v>
      </c>
      <c r="M19" s="1">
        <v>1261739</v>
      </c>
      <c r="N19" s="50" t="s">
        <v>1030</v>
      </c>
      <c r="O19" s="55">
        <f>DATE(2012,8,1)</f>
        <v>41122</v>
      </c>
      <c r="P19" s="55">
        <f>DATE(2014,6,30)</f>
        <v>41820</v>
      </c>
      <c r="Q19" s="51">
        <v>1292</v>
      </c>
      <c r="S19" s="51">
        <v>2.5</v>
      </c>
      <c r="U19" s="1">
        <f t="shared" si="0"/>
        <v>699</v>
      </c>
      <c r="V19" s="31">
        <f t="shared" si="1"/>
        <v>1.848354792560801</v>
      </c>
      <c r="W19" s="31">
        <f t="shared" si="2"/>
        <v>674.64949928469241</v>
      </c>
      <c r="X19" s="31">
        <f t="shared" si="3"/>
        <v>0.8433118741058655</v>
      </c>
      <c r="AA19" s="32">
        <f t="shared" si="4"/>
        <v>42552</v>
      </c>
      <c r="AB19" s="32">
        <f t="shared" si="5"/>
        <v>42735</v>
      </c>
      <c r="AC19" s="50">
        <v>4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0.42165593705293275</v>
      </c>
      <c r="AK19" s="23">
        <f t="shared" si="13"/>
        <v>0.8433118741058655</v>
      </c>
      <c r="AL19" s="23">
        <f t="shared" si="14"/>
        <v>2.1082796852646637</v>
      </c>
      <c r="AM19" s="23">
        <f t="shared" si="15"/>
        <v>0</v>
      </c>
      <c r="AN19" s="23">
        <f t="shared" si="16"/>
        <v>2.1082796852646637</v>
      </c>
      <c r="AQ19" s="32">
        <f t="shared" si="17"/>
        <v>42736</v>
      </c>
      <c r="AR19" s="32">
        <f t="shared" si="18"/>
        <v>42916</v>
      </c>
      <c r="AS19" s="50">
        <v>4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0.42165593705293275</v>
      </c>
      <c r="BA19" s="23">
        <f t="shared" si="26"/>
        <v>0.8433118741058655</v>
      </c>
      <c r="BB19" s="23">
        <f t="shared" si="27"/>
        <v>2.1082796852646637</v>
      </c>
      <c r="BC19" s="23">
        <f t="shared" si="28"/>
        <v>0</v>
      </c>
      <c r="BD19" s="23">
        <f t="shared" si="29"/>
        <v>2.1082796852646637</v>
      </c>
    </row>
    <row r="20" spans="1:56">
      <c r="A20" s="1" t="s">
        <v>20</v>
      </c>
      <c r="B20" s="1" t="s">
        <v>55</v>
      </c>
      <c r="C20" s="1" t="s">
        <v>22</v>
      </c>
      <c r="D20" s="1" t="s">
        <v>56</v>
      </c>
      <c r="E20" s="51" t="s">
        <v>107</v>
      </c>
      <c r="F20" s="51" t="s">
        <v>108</v>
      </c>
      <c r="G20" s="51" t="s">
        <v>109</v>
      </c>
      <c r="H20" s="1" t="s">
        <v>260</v>
      </c>
      <c r="I20" s="1" t="s">
        <v>147</v>
      </c>
      <c r="J20" s="51" t="s">
        <v>148</v>
      </c>
      <c r="K20" s="51" t="s">
        <v>112</v>
      </c>
      <c r="L20" s="51" t="s">
        <v>112</v>
      </c>
      <c r="M20" s="1">
        <v>1261740</v>
      </c>
      <c r="N20" s="56" t="s">
        <v>1031</v>
      </c>
      <c r="O20" s="55">
        <f>DATE(2012,8,1)</f>
        <v>41122</v>
      </c>
      <c r="P20" s="55">
        <f>DATE(2013,12,20)</f>
        <v>41628</v>
      </c>
      <c r="Q20" s="51">
        <v>1256</v>
      </c>
      <c r="S20" s="51">
        <v>2</v>
      </c>
      <c r="U20" s="1">
        <f t="shared" si="0"/>
        <v>507</v>
      </c>
      <c r="V20" s="31">
        <f t="shared" si="1"/>
        <v>2.4773175542406314</v>
      </c>
      <c r="W20" s="31">
        <f t="shared" si="2"/>
        <v>904.22090729783042</v>
      </c>
      <c r="X20" s="31">
        <f t="shared" si="3"/>
        <v>1.130276134122288</v>
      </c>
      <c r="AA20" s="32">
        <f t="shared" si="4"/>
        <v>42552</v>
      </c>
      <c r="AB20" s="32">
        <f t="shared" si="5"/>
        <v>42735</v>
      </c>
      <c r="AC20" s="50">
        <v>3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0.565138067061144</v>
      </c>
      <c r="AK20" s="23">
        <f t="shared" si="13"/>
        <v>0.84770710059171606</v>
      </c>
      <c r="AL20" s="23">
        <f t="shared" si="14"/>
        <v>1.6954142011834321</v>
      </c>
      <c r="AM20" s="23">
        <f t="shared" si="15"/>
        <v>0.84770710059171606</v>
      </c>
      <c r="AN20" s="23">
        <f t="shared" si="16"/>
        <v>2.5431213017751482</v>
      </c>
      <c r="AQ20" s="32">
        <f t="shared" si="17"/>
        <v>42736</v>
      </c>
      <c r="AR20" s="32">
        <f t="shared" si="18"/>
        <v>42916</v>
      </c>
      <c r="AS20" s="56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0.565138067061144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55</v>
      </c>
      <c r="C21" s="1" t="s">
        <v>22</v>
      </c>
      <c r="D21" s="1" t="s">
        <v>56</v>
      </c>
      <c r="E21" s="51" t="s">
        <v>107</v>
      </c>
      <c r="F21" s="51" t="s">
        <v>114</v>
      </c>
      <c r="G21" s="51" t="s">
        <v>109</v>
      </c>
      <c r="H21" s="1" t="s">
        <v>130</v>
      </c>
      <c r="I21" s="1" t="s">
        <v>131</v>
      </c>
      <c r="J21" s="51" t="s">
        <v>112</v>
      </c>
      <c r="K21" s="51" t="s">
        <v>112</v>
      </c>
      <c r="L21" s="51" t="s">
        <v>112</v>
      </c>
      <c r="M21" s="1">
        <v>1649256</v>
      </c>
      <c r="N21" s="50" t="s">
        <v>1032</v>
      </c>
      <c r="O21" s="55">
        <f>DATE(2013,2,20)</f>
        <v>41325</v>
      </c>
      <c r="P21" s="55">
        <f>DATE(2015,12,30)</f>
        <v>42368</v>
      </c>
      <c r="Q21" s="51">
        <v>2560</v>
      </c>
      <c r="S21" s="51">
        <v>2.5</v>
      </c>
      <c r="U21" s="1">
        <f t="shared" si="0"/>
        <v>1044</v>
      </c>
      <c r="V21" s="31">
        <f t="shared" si="1"/>
        <v>2.4521072796934864</v>
      </c>
      <c r="W21" s="31">
        <f t="shared" si="2"/>
        <v>895.01915708812248</v>
      </c>
      <c r="X21" s="31">
        <f t="shared" si="3"/>
        <v>1.1187739463601531</v>
      </c>
      <c r="AA21" s="32">
        <f t="shared" si="4"/>
        <v>42552</v>
      </c>
      <c r="AB21" s="32">
        <f t="shared" si="5"/>
        <v>42735</v>
      </c>
      <c r="AC21" s="50">
        <v>7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0.55938697318007657</v>
      </c>
      <c r="AK21" s="23">
        <f t="shared" si="13"/>
        <v>1.9578544061302681</v>
      </c>
      <c r="AL21" s="23">
        <f t="shared" si="14"/>
        <v>4.8946360153256698</v>
      </c>
      <c r="AM21" s="23">
        <f t="shared" si="15"/>
        <v>0</v>
      </c>
      <c r="AN21" s="23">
        <f t="shared" si="16"/>
        <v>4.8946360153256698</v>
      </c>
      <c r="AQ21" s="32">
        <f t="shared" si="17"/>
        <v>42736</v>
      </c>
      <c r="AR21" s="32">
        <f t="shared" si="18"/>
        <v>42916</v>
      </c>
      <c r="AS21" s="50">
        <v>1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0.55938697318007657</v>
      </c>
      <c r="BA21" s="23">
        <f t="shared" si="26"/>
        <v>0.27969348659003829</v>
      </c>
      <c r="BB21" s="23">
        <f t="shared" si="27"/>
        <v>0.69923371647509569</v>
      </c>
      <c r="BC21" s="23">
        <f t="shared" si="28"/>
        <v>0</v>
      </c>
      <c r="BD21" s="23">
        <f t="shared" si="29"/>
        <v>0.69923371647509569</v>
      </c>
    </row>
    <row r="22" spans="1:56">
      <c r="A22" s="1" t="s">
        <v>20</v>
      </c>
      <c r="B22" s="1" t="s">
        <v>55</v>
      </c>
      <c r="C22" s="1" t="s">
        <v>22</v>
      </c>
      <c r="D22" s="1" t="s">
        <v>56</v>
      </c>
      <c r="E22" s="51" t="s">
        <v>107</v>
      </c>
      <c r="F22" s="51" t="s">
        <v>294</v>
      </c>
      <c r="G22" s="51" t="s">
        <v>109</v>
      </c>
      <c r="H22" s="1" t="s">
        <v>1024</v>
      </c>
      <c r="I22" s="1" t="s">
        <v>111</v>
      </c>
      <c r="J22" s="51" t="s">
        <v>112</v>
      </c>
      <c r="K22" s="51" t="s">
        <v>112</v>
      </c>
      <c r="L22" s="51" t="s">
        <v>112</v>
      </c>
      <c r="M22" s="1">
        <v>1649258</v>
      </c>
      <c r="N22" s="50" t="s">
        <v>1033</v>
      </c>
      <c r="O22" s="55">
        <f>DATE(2013,2,20)</f>
        <v>41325</v>
      </c>
      <c r="P22" s="55">
        <f>DATE(2015,12,30)</f>
        <v>42368</v>
      </c>
      <c r="Q22" s="51">
        <v>2059</v>
      </c>
      <c r="S22" s="51">
        <v>2.5</v>
      </c>
      <c r="U22" s="1">
        <f t="shared" si="0"/>
        <v>1044</v>
      </c>
      <c r="V22" s="31">
        <f t="shared" si="1"/>
        <v>1.9722222222222223</v>
      </c>
      <c r="W22" s="31">
        <f t="shared" si="2"/>
        <v>719.8611111111112</v>
      </c>
      <c r="X22" s="31">
        <f t="shared" si="3"/>
        <v>0.89982638888888899</v>
      </c>
      <c r="AA22" s="32">
        <f t="shared" si="4"/>
        <v>42552</v>
      </c>
      <c r="AB22" s="32">
        <f t="shared" si="5"/>
        <v>42735</v>
      </c>
      <c r="AC22" s="50">
        <v>12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0.4499131944444445</v>
      </c>
      <c r="AK22" s="23">
        <f t="shared" si="13"/>
        <v>2.6994791666666669</v>
      </c>
      <c r="AL22" s="23">
        <f t="shared" si="14"/>
        <v>6.748697916666667</v>
      </c>
      <c r="AM22" s="23">
        <f t="shared" si="15"/>
        <v>0</v>
      </c>
      <c r="AN22" s="23">
        <f t="shared" si="16"/>
        <v>6.748697916666667</v>
      </c>
      <c r="AQ22" s="32">
        <f t="shared" si="17"/>
        <v>42736</v>
      </c>
      <c r="AR22" s="32">
        <f t="shared" si="18"/>
        <v>42916</v>
      </c>
      <c r="AS22" s="50">
        <v>8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0.4499131944444445</v>
      </c>
      <c r="BA22" s="23">
        <f t="shared" si="26"/>
        <v>1.799652777777778</v>
      </c>
      <c r="BB22" s="23">
        <f t="shared" si="27"/>
        <v>4.4991319444444446</v>
      </c>
      <c r="BC22" s="23">
        <f t="shared" si="28"/>
        <v>0</v>
      </c>
      <c r="BD22" s="23">
        <f t="shared" si="29"/>
        <v>4.4991319444444446</v>
      </c>
    </row>
    <row r="23" spans="1:56">
      <c r="A23" s="1" t="s">
        <v>20</v>
      </c>
      <c r="B23" s="1" t="s">
        <v>55</v>
      </c>
      <c r="C23" s="1" t="s">
        <v>22</v>
      </c>
      <c r="D23" s="1" t="s">
        <v>56</v>
      </c>
      <c r="E23" s="51" t="s">
        <v>107</v>
      </c>
      <c r="F23" s="51" t="s">
        <v>294</v>
      </c>
      <c r="G23" s="51" t="s">
        <v>109</v>
      </c>
      <c r="H23" s="1" t="s">
        <v>297</v>
      </c>
      <c r="I23" s="1" t="s">
        <v>147</v>
      </c>
      <c r="J23" s="51" t="s">
        <v>112</v>
      </c>
      <c r="K23" s="51" t="s">
        <v>112</v>
      </c>
      <c r="L23" s="51" t="s">
        <v>112</v>
      </c>
      <c r="M23" s="1">
        <v>1649259</v>
      </c>
      <c r="N23" s="50" t="s">
        <v>1034</v>
      </c>
      <c r="O23" s="55">
        <f>DATE(2013,2,20)</f>
        <v>41325</v>
      </c>
      <c r="P23" s="55">
        <f>DATE(2015,12,30)</f>
        <v>42368</v>
      </c>
      <c r="Q23" s="51">
        <v>2342</v>
      </c>
      <c r="S23" s="51">
        <v>2</v>
      </c>
      <c r="U23" s="1">
        <f t="shared" si="0"/>
        <v>1044</v>
      </c>
      <c r="V23" s="31">
        <f t="shared" si="1"/>
        <v>2.2432950191570882</v>
      </c>
      <c r="W23" s="31">
        <f t="shared" si="2"/>
        <v>818.80268199233717</v>
      </c>
      <c r="X23" s="31">
        <f t="shared" si="3"/>
        <v>1.0235033524904216</v>
      </c>
      <c r="AA23" s="32">
        <f t="shared" si="4"/>
        <v>42552</v>
      </c>
      <c r="AB23" s="32">
        <f t="shared" si="5"/>
        <v>42735</v>
      </c>
      <c r="AC23" s="50">
        <v>16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0.51175167624521078</v>
      </c>
      <c r="AK23" s="23">
        <f t="shared" si="13"/>
        <v>4.0940134099616863</v>
      </c>
      <c r="AL23" s="23">
        <f t="shared" si="14"/>
        <v>8.1880268199233726</v>
      </c>
      <c r="AM23" s="23">
        <f t="shared" si="15"/>
        <v>0</v>
      </c>
      <c r="AN23" s="23">
        <f t="shared" si="16"/>
        <v>8.1880268199233726</v>
      </c>
      <c r="AQ23" s="32">
        <f t="shared" si="17"/>
        <v>42736</v>
      </c>
      <c r="AR23" s="32">
        <f t="shared" si="18"/>
        <v>42916</v>
      </c>
      <c r="AS23" s="50">
        <v>15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0.51175167624521078</v>
      </c>
      <c r="BA23" s="23">
        <f t="shared" si="26"/>
        <v>3.8381375718390807</v>
      </c>
      <c r="BB23" s="23">
        <f t="shared" si="27"/>
        <v>7.6762751436781613</v>
      </c>
      <c r="BC23" s="23">
        <f t="shared" si="28"/>
        <v>0</v>
      </c>
      <c r="BD23" s="23">
        <f t="shared" si="29"/>
        <v>7.6762751436781613</v>
      </c>
    </row>
    <row r="24" spans="1:56">
      <c r="A24" s="1" t="s">
        <v>20</v>
      </c>
      <c r="B24" s="1" t="s">
        <v>55</v>
      </c>
      <c r="C24" s="1" t="s">
        <v>22</v>
      </c>
      <c r="D24" s="1" t="s">
        <v>56</v>
      </c>
      <c r="E24" s="51" t="s">
        <v>107</v>
      </c>
      <c r="F24" s="51" t="s">
        <v>108</v>
      </c>
      <c r="G24" s="51" t="s">
        <v>109</v>
      </c>
      <c r="H24" s="1" t="s">
        <v>275</v>
      </c>
      <c r="I24" s="1" t="s">
        <v>128</v>
      </c>
      <c r="J24" s="51" t="s">
        <v>112</v>
      </c>
      <c r="K24" s="51" t="s">
        <v>112</v>
      </c>
      <c r="L24" s="51" t="s">
        <v>112</v>
      </c>
      <c r="M24" s="1">
        <v>1649262</v>
      </c>
      <c r="N24" s="50" t="s">
        <v>1035</v>
      </c>
      <c r="O24" s="55">
        <f>DATE(2013,3,12)</f>
        <v>41345</v>
      </c>
      <c r="P24" s="55">
        <f>DATE(2016,12,30)</f>
        <v>42734</v>
      </c>
      <c r="Q24" s="51">
        <v>4250</v>
      </c>
      <c r="S24" s="51">
        <v>2.5</v>
      </c>
      <c r="U24" s="1">
        <f t="shared" si="0"/>
        <v>1390</v>
      </c>
      <c r="V24" s="31">
        <f t="shared" si="1"/>
        <v>3.0575539568345325</v>
      </c>
      <c r="W24" s="31">
        <f t="shared" si="2"/>
        <v>1116.0071942446043</v>
      </c>
      <c r="X24" s="31">
        <f t="shared" si="3"/>
        <v>1.3950089928057554</v>
      </c>
      <c r="AA24" s="32">
        <f t="shared" si="4"/>
        <v>42552</v>
      </c>
      <c r="AB24" s="32">
        <f t="shared" si="5"/>
        <v>42735</v>
      </c>
      <c r="AC24" s="50">
        <v>2</v>
      </c>
      <c r="AD24" s="1">
        <f t="shared" si="6"/>
        <v>0</v>
      </c>
      <c r="AE24" s="1">
        <f t="shared" si="7"/>
        <v>0</v>
      </c>
      <c r="AF24" s="1">
        <f t="shared" si="8"/>
        <v>183</v>
      </c>
      <c r="AG24" s="1">
        <f t="shared" si="9"/>
        <v>0</v>
      </c>
      <c r="AH24" s="1">
        <f t="shared" si="10"/>
        <v>0</v>
      </c>
      <c r="AI24" s="23">
        <f t="shared" si="11"/>
        <v>0.99456521739130432</v>
      </c>
      <c r="AJ24" s="23">
        <f t="shared" si="12"/>
        <v>1.3874274221926806</v>
      </c>
      <c r="AK24" s="23">
        <f t="shared" si="13"/>
        <v>2.7748548443853611</v>
      </c>
      <c r="AL24" s="23">
        <f t="shared" si="14"/>
        <v>6.9371371109634028</v>
      </c>
      <c r="AM24" s="23">
        <f t="shared" si="15"/>
        <v>0</v>
      </c>
      <c r="AN24" s="23">
        <f t="shared" si="16"/>
        <v>6.9371371109634028</v>
      </c>
      <c r="AQ24" s="32">
        <f t="shared" si="17"/>
        <v>42736</v>
      </c>
      <c r="AR24" s="32">
        <f t="shared" si="18"/>
        <v>42916</v>
      </c>
      <c r="AS24" s="50">
        <v>2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0.69750449640287771</v>
      </c>
      <c r="BA24" s="23">
        <f t="shared" si="26"/>
        <v>0.69750449640287771</v>
      </c>
      <c r="BB24" s="23">
        <f t="shared" si="27"/>
        <v>1.7437612410071943</v>
      </c>
      <c r="BC24" s="23">
        <f t="shared" si="28"/>
        <v>0</v>
      </c>
      <c r="BD24" s="23">
        <f t="shared" si="29"/>
        <v>1.7437612410071943</v>
      </c>
    </row>
    <row r="25" spans="1:56">
      <c r="A25" s="1" t="s">
        <v>20</v>
      </c>
      <c r="B25" s="1" t="s">
        <v>55</v>
      </c>
      <c r="C25" s="1" t="s">
        <v>22</v>
      </c>
      <c r="D25" s="1" t="s">
        <v>56</v>
      </c>
      <c r="E25" s="51" t="s">
        <v>107</v>
      </c>
      <c r="F25" s="51" t="s">
        <v>108</v>
      </c>
      <c r="G25" s="51" t="s">
        <v>109</v>
      </c>
      <c r="H25" s="1" t="s">
        <v>275</v>
      </c>
      <c r="I25" s="1" t="s">
        <v>128</v>
      </c>
      <c r="J25" s="51" t="s">
        <v>112</v>
      </c>
      <c r="K25" s="51" t="s">
        <v>112</v>
      </c>
      <c r="L25" s="51" t="s">
        <v>112</v>
      </c>
      <c r="M25" s="1">
        <v>1842448</v>
      </c>
      <c r="N25" s="50" t="s">
        <v>1036</v>
      </c>
      <c r="O25" s="55">
        <f>DATE(2013,8,5)</f>
        <v>41491</v>
      </c>
      <c r="P25" s="55">
        <f>DATE(2015,7,15)</f>
        <v>42200</v>
      </c>
      <c r="Q25" s="51">
        <v>1622</v>
      </c>
      <c r="S25" s="51">
        <v>2.5</v>
      </c>
      <c r="U25" s="1">
        <f t="shared" si="0"/>
        <v>710</v>
      </c>
      <c r="V25" s="31">
        <f t="shared" si="1"/>
        <v>2.2845070422535212</v>
      </c>
      <c r="W25" s="31">
        <f t="shared" si="2"/>
        <v>833.84507042253529</v>
      </c>
      <c r="X25" s="31">
        <f t="shared" si="3"/>
        <v>1.0423063380281692</v>
      </c>
      <c r="AA25" s="32">
        <f t="shared" si="4"/>
        <v>42552</v>
      </c>
      <c r="AB25" s="32">
        <f t="shared" si="5"/>
        <v>42735</v>
      </c>
      <c r="AC25" s="50">
        <v>10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0.52115316901408459</v>
      </c>
      <c r="AK25" s="23">
        <f t="shared" si="13"/>
        <v>2.6057658450704229</v>
      </c>
      <c r="AL25" s="23">
        <f t="shared" si="14"/>
        <v>6.5144146126760569</v>
      </c>
      <c r="AM25" s="23">
        <f t="shared" si="15"/>
        <v>0</v>
      </c>
      <c r="AN25" s="23">
        <f t="shared" si="16"/>
        <v>6.5144146126760569</v>
      </c>
      <c r="AQ25" s="32">
        <f t="shared" si="17"/>
        <v>42736</v>
      </c>
      <c r="AR25" s="32">
        <f t="shared" si="18"/>
        <v>42916</v>
      </c>
      <c r="AS25" s="50">
        <v>7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0.52115316901408459</v>
      </c>
      <c r="BA25" s="23">
        <f t="shared" si="26"/>
        <v>1.8240360915492961</v>
      </c>
      <c r="BB25" s="23">
        <f t="shared" si="27"/>
        <v>4.5600902288732401</v>
      </c>
      <c r="BC25" s="23">
        <f t="shared" si="28"/>
        <v>0</v>
      </c>
      <c r="BD25" s="23">
        <f t="shared" si="29"/>
        <v>4.5600902288732401</v>
      </c>
    </row>
    <row r="26" spans="1:56">
      <c r="A26" s="1" t="s">
        <v>20</v>
      </c>
      <c r="B26" s="1" t="s">
        <v>55</v>
      </c>
      <c r="C26" s="1" t="s">
        <v>22</v>
      </c>
      <c r="D26" s="1" t="s">
        <v>56</v>
      </c>
      <c r="E26" s="51" t="s">
        <v>107</v>
      </c>
      <c r="F26" s="51" t="s">
        <v>108</v>
      </c>
      <c r="G26" s="51" t="s">
        <v>109</v>
      </c>
      <c r="H26" s="1" t="s">
        <v>937</v>
      </c>
      <c r="I26" s="1" t="s">
        <v>111</v>
      </c>
      <c r="J26" s="51" t="s">
        <v>112</v>
      </c>
      <c r="K26" s="51" t="s">
        <v>112</v>
      </c>
      <c r="L26" s="51" t="s">
        <v>112</v>
      </c>
      <c r="M26" s="1">
        <v>1842449</v>
      </c>
      <c r="N26" s="50" t="s">
        <v>1037</v>
      </c>
      <c r="O26" s="55">
        <f>DATE(2013,8,5)</f>
        <v>41491</v>
      </c>
      <c r="P26" s="55">
        <f>DATE(2014,12,23)</f>
        <v>41996</v>
      </c>
      <c r="Q26" s="51">
        <v>1240</v>
      </c>
      <c r="S26" s="51">
        <v>1.5</v>
      </c>
      <c r="U26" s="1">
        <f t="shared" si="0"/>
        <v>506</v>
      </c>
      <c r="V26" s="31">
        <f t="shared" si="1"/>
        <v>2.4505928853754941</v>
      </c>
      <c r="W26" s="31">
        <f t="shared" si="2"/>
        <v>894.46640316205537</v>
      </c>
      <c r="X26" s="31">
        <f t="shared" si="3"/>
        <v>1.1180830039525693</v>
      </c>
      <c r="AA26" s="32">
        <f t="shared" si="4"/>
        <v>42552</v>
      </c>
      <c r="AB26" s="32">
        <f t="shared" si="5"/>
        <v>42735</v>
      </c>
      <c r="AC26" s="50">
        <v>4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0.55904150197628466</v>
      </c>
      <c r="AK26" s="23">
        <f t="shared" si="13"/>
        <v>1.1180830039525693</v>
      </c>
      <c r="AL26" s="23">
        <f t="shared" si="14"/>
        <v>1.677124505928854</v>
      </c>
      <c r="AM26" s="23">
        <f t="shared" si="15"/>
        <v>0</v>
      </c>
      <c r="AN26" s="23">
        <f t="shared" si="16"/>
        <v>1.677124505928854</v>
      </c>
      <c r="AQ26" s="32">
        <f t="shared" si="17"/>
        <v>42736</v>
      </c>
      <c r="AR26" s="32">
        <f t="shared" si="18"/>
        <v>42916</v>
      </c>
      <c r="AS26" s="50">
        <v>3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0.55904150197628466</v>
      </c>
      <c r="BA26" s="23">
        <f t="shared" si="26"/>
        <v>0.83856225296442699</v>
      </c>
      <c r="BB26" s="23">
        <f t="shared" si="27"/>
        <v>1.2578433794466406</v>
      </c>
      <c r="BC26" s="23">
        <f t="shared" si="28"/>
        <v>0</v>
      </c>
      <c r="BD26" s="23">
        <f t="shared" si="29"/>
        <v>1.2578433794466406</v>
      </c>
    </row>
    <row r="27" spans="1:56">
      <c r="A27" s="1" t="s">
        <v>20</v>
      </c>
      <c r="B27" s="1" t="s">
        <v>55</v>
      </c>
      <c r="C27" s="1" t="s">
        <v>22</v>
      </c>
      <c r="D27" s="1" t="s">
        <v>56</v>
      </c>
      <c r="E27" s="51" t="s">
        <v>107</v>
      </c>
      <c r="F27" s="51" t="s">
        <v>108</v>
      </c>
      <c r="G27" s="51" t="s">
        <v>109</v>
      </c>
      <c r="H27" s="1" t="s">
        <v>124</v>
      </c>
      <c r="I27" s="1" t="s">
        <v>125</v>
      </c>
      <c r="J27" s="51" t="s">
        <v>112</v>
      </c>
      <c r="K27" s="51" t="s">
        <v>112</v>
      </c>
      <c r="L27" s="51" t="s">
        <v>112</v>
      </c>
      <c r="M27" s="1">
        <v>1842451</v>
      </c>
      <c r="N27" s="50" t="s">
        <v>1038</v>
      </c>
      <c r="O27" s="55">
        <f>DATE(2013,8,5)</f>
        <v>41491</v>
      </c>
      <c r="P27" s="55">
        <f>DATE(2015,7,15)</f>
        <v>42200</v>
      </c>
      <c r="Q27" s="51">
        <v>1605</v>
      </c>
      <c r="S27" s="51">
        <v>2.5</v>
      </c>
      <c r="U27" s="1">
        <f t="shared" si="0"/>
        <v>710</v>
      </c>
      <c r="V27" s="31">
        <f t="shared" si="1"/>
        <v>2.26056338028169</v>
      </c>
      <c r="W27" s="31">
        <f t="shared" si="2"/>
        <v>825.1056338028169</v>
      </c>
      <c r="X27" s="31">
        <f t="shared" si="3"/>
        <v>1.0313820422535211</v>
      </c>
      <c r="AA27" s="32">
        <f t="shared" si="4"/>
        <v>42552</v>
      </c>
      <c r="AB27" s="32">
        <f t="shared" si="5"/>
        <v>42735</v>
      </c>
      <c r="AC27" s="50">
        <v>6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0.51569102112676057</v>
      </c>
      <c r="AK27" s="23">
        <f t="shared" si="13"/>
        <v>1.5470730633802816</v>
      </c>
      <c r="AL27" s="23">
        <f t="shared" si="14"/>
        <v>3.867682658450704</v>
      </c>
      <c r="AM27" s="23">
        <f t="shared" si="15"/>
        <v>0</v>
      </c>
      <c r="AN27" s="23">
        <f t="shared" si="16"/>
        <v>3.867682658450704</v>
      </c>
      <c r="AQ27" s="32">
        <f t="shared" si="17"/>
        <v>42736</v>
      </c>
      <c r="AR27" s="32">
        <f t="shared" si="18"/>
        <v>42916</v>
      </c>
      <c r="AS27" s="50">
        <v>3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0.51569102112676057</v>
      </c>
      <c r="BA27" s="23">
        <f t="shared" si="26"/>
        <v>0.77353653169014081</v>
      </c>
      <c r="BB27" s="23">
        <f t="shared" si="27"/>
        <v>1.933841329225352</v>
      </c>
      <c r="BC27" s="23">
        <f t="shared" si="28"/>
        <v>0</v>
      </c>
      <c r="BD27" s="23">
        <f t="shared" si="29"/>
        <v>1.933841329225352</v>
      </c>
    </row>
    <row r="28" spans="1:56">
      <c r="A28" s="1" t="s">
        <v>20</v>
      </c>
      <c r="B28" s="1" t="s">
        <v>55</v>
      </c>
      <c r="C28" s="1" t="s">
        <v>22</v>
      </c>
      <c r="D28" s="1" t="s">
        <v>56</v>
      </c>
      <c r="E28" s="51" t="s">
        <v>107</v>
      </c>
      <c r="F28" s="51" t="s">
        <v>108</v>
      </c>
      <c r="G28" s="51" t="s">
        <v>109</v>
      </c>
      <c r="H28" s="1" t="s">
        <v>146</v>
      </c>
      <c r="I28" s="1" t="s">
        <v>147</v>
      </c>
      <c r="J28" s="51" t="s">
        <v>148</v>
      </c>
      <c r="K28" s="51" t="s">
        <v>112</v>
      </c>
      <c r="L28" s="51" t="s">
        <v>112</v>
      </c>
      <c r="M28" s="1">
        <v>1842452</v>
      </c>
      <c r="N28" s="50" t="s">
        <v>1039</v>
      </c>
      <c r="O28" s="55">
        <f>DATE(2013,8,5)</f>
        <v>41491</v>
      </c>
      <c r="P28" s="55">
        <f>DATE(2014,12,23)</f>
        <v>41996</v>
      </c>
      <c r="Q28" s="51">
        <v>1240</v>
      </c>
      <c r="S28" s="51">
        <v>2.5</v>
      </c>
      <c r="U28" s="1">
        <f t="shared" si="0"/>
        <v>506</v>
      </c>
      <c r="V28" s="31">
        <f t="shared" si="1"/>
        <v>2.4505928853754941</v>
      </c>
      <c r="W28" s="31">
        <f t="shared" si="2"/>
        <v>894.46640316205537</v>
      </c>
      <c r="X28" s="31">
        <f t="shared" si="3"/>
        <v>1.1180830039525693</v>
      </c>
      <c r="AA28" s="32">
        <f t="shared" si="4"/>
        <v>42552</v>
      </c>
      <c r="AB28" s="32">
        <f t="shared" si="5"/>
        <v>42735</v>
      </c>
      <c r="AC28" s="50">
        <v>6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0.55904150197628466</v>
      </c>
      <c r="AK28" s="23">
        <f t="shared" si="13"/>
        <v>1.677124505928854</v>
      </c>
      <c r="AL28" s="23">
        <f t="shared" si="14"/>
        <v>4.1928112648221347</v>
      </c>
      <c r="AM28" s="23">
        <f t="shared" si="15"/>
        <v>2.0964056324110674</v>
      </c>
      <c r="AN28" s="23">
        <f t="shared" si="16"/>
        <v>6.2892168972332021</v>
      </c>
      <c r="AQ28" s="32">
        <f t="shared" si="17"/>
        <v>42736</v>
      </c>
      <c r="AR28" s="32">
        <f t="shared" si="18"/>
        <v>42916</v>
      </c>
      <c r="AS28" s="50">
        <v>6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0.55904150197628466</v>
      </c>
      <c r="BA28" s="23">
        <f t="shared" si="26"/>
        <v>1.677124505928854</v>
      </c>
      <c r="BB28" s="23">
        <f t="shared" si="27"/>
        <v>4.1928112648221347</v>
      </c>
      <c r="BC28" s="23">
        <f t="shared" si="28"/>
        <v>2.0964056324110674</v>
      </c>
      <c r="BD28" s="23">
        <f t="shared" si="29"/>
        <v>6.2892168972332021</v>
      </c>
    </row>
    <row r="29" spans="1:56">
      <c r="A29" s="1" t="s">
        <v>20</v>
      </c>
      <c r="B29" s="1" t="s">
        <v>55</v>
      </c>
      <c r="C29" s="1" t="s">
        <v>22</v>
      </c>
      <c r="D29" s="1" t="s">
        <v>56</v>
      </c>
      <c r="E29" s="51" t="s">
        <v>107</v>
      </c>
      <c r="F29" s="51" t="s">
        <v>108</v>
      </c>
      <c r="G29" s="51" t="s">
        <v>109</v>
      </c>
      <c r="H29" s="1" t="s">
        <v>275</v>
      </c>
      <c r="I29" s="1" t="s">
        <v>128</v>
      </c>
      <c r="J29" s="51" t="s">
        <v>112</v>
      </c>
      <c r="K29" s="51" t="s">
        <v>112</v>
      </c>
      <c r="L29" s="51" t="s">
        <v>112</v>
      </c>
      <c r="M29" s="1">
        <v>1858976</v>
      </c>
      <c r="N29" s="51" t="s">
        <v>1040</v>
      </c>
      <c r="O29" s="55">
        <f>DATE(2014,2,19)</f>
        <v>41689</v>
      </c>
      <c r="P29" s="55">
        <f>DATE(2017,12,22)</f>
        <v>43091</v>
      </c>
      <c r="Q29" s="51">
        <v>4250</v>
      </c>
      <c r="S29" s="51">
        <v>2.5</v>
      </c>
      <c r="U29" s="1">
        <f t="shared" si="0"/>
        <v>1403</v>
      </c>
      <c r="V29" s="31">
        <f t="shared" si="1"/>
        <v>3.0292230933713471</v>
      </c>
      <c r="W29" s="31">
        <f t="shared" si="2"/>
        <v>1105.6664290805418</v>
      </c>
      <c r="X29" s="31">
        <f t="shared" si="3"/>
        <v>1.3820830363506773</v>
      </c>
      <c r="AA29" s="32">
        <f t="shared" si="4"/>
        <v>42552</v>
      </c>
      <c r="AB29" s="32">
        <f t="shared" si="5"/>
        <v>42735</v>
      </c>
      <c r="AC29" s="51">
        <v>22</v>
      </c>
      <c r="AD29" s="1">
        <f t="shared" si="6"/>
        <v>184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1</v>
      </c>
      <c r="AJ29" s="23">
        <f t="shared" si="12"/>
        <v>1.3820830363506773</v>
      </c>
      <c r="AK29" s="23">
        <f t="shared" si="13"/>
        <v>30.405826799714902</v>
      </c>
      <c r="AL29" s="23">
        <f t="shared" si="14"/>
        <v>76.014566999287254</v>
      </c>
      <c r="AM29" s="23">
        <f t="shared" si="15"/>
        <v>0</v>
      </c>
      <c r="AN29" s="23">
        <f t="shared" si="16"/>
        <v>76.014566999287254</v>
      </c>
      <c r="AQ29" s="32">
        <f t="shared" si="17"/>
        <v>42736</v>
      </c>
      <c r="AR29" s="32">
        <f t="shared" si="18"/>
        <v>42916</v>
      </c>
      <c r="AS29" s="51">
        <v>22</v>
      </c>
      <c r="AT29" s="1">
        <f t="shared" si="19"/>
        <v>181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1</v>
      </c>
      <c r="AZ29" s="23">
        <f t="shared" si="25"/>
        <v>1.3820830363506773</v>
      </c>
      <c r="BA29" s="23">
        <f t="shared" si="26"/>
        <v>30.405826799714902</v>
      </c>
      <c r="BB29" s="23">
        <f t="shared" si="27"/>
        <v>76.014566999287254</v>
      </c>
      <c r="BC29" s="23">
        <f t="shared" si="28"/>
        <v>0</v>
      </c>
      <c r="BD29" s="23">
        <f t="shared" si="29"/>
        <v>76.014566999287254</v>
      </c>
    </row>
    <row r="30" spans="1:56">
      <c r="A30" s="1" t="s">
        <v>20</v>
      </c>
      <c r="B30" s="1" t="s">
        <v>55</v>
      </c>
      <c r="C30" s="1" t="s">
        <v>22</v>
      </c>
      <c r="D30" s="1" t="s">
        <v>56</v>
      </c>
      <c r="E30" s="51" t="s">
        <v>107</v>
      </c>
      <c r="F30" s="51" t="s">
        <v>108</v>
      </c>
      <c r="G30" s="51" t="s">
        <v>109</v>
      </c>
      <c r="H30" s="1" t="s">
        <v>124</v>
      </c>
      <c r="I30" s="1" t="s">
        <v>125</v>
      </c>
      <c r="J30" s="51" t="s">
        <v>112</v>
      </c>
      <c r="K30" s="51" t="s">
        <v>112</v>
      </c>
      <c r="L30" s="51" t="s">
        <v>112</v>
      </c>
      <c r="M30" s="1">
        <v>1858981</v>
      </c>
      <c r="N30" s="51" t="s">
        <v>1041</v>
      </c>
      <c r="O30" s="55">
        <f>DATE(2014,2,19)</f>
        <v>41689</v>
      </c>
      <c r="P30" s="55">
        <f>DATE(2017,7,10)</f>
        <v>42926</v>
      </c>
      <c r="Q30" s="51">
        <v>3953</v>
      </c>
      <c r="S30" s="51">
        <v>2.5</v>
      </c>
      <c r="U30" s="1">
        <f t="shared" si="0"/>
        <v>1238</v>
      </c>
      <c r="V30" s="31">
        <f t="shared" si="1"/>
        <v>3.1930533117932147</v>
      </c>
      <c r="W30" s="31">
        <f t="shared" si="2"/>
        <v>1165.4644588045235</v>
      </c>
      <c r="X30" s="31">
        <f t="shared" si="3"/>
        <v>1.4568305735056544</v>
      </c>
      <c r="AA30" s="32">
        <f t="shared" si="4"/>
        <v>42552</v>
      </c>
      <c r="AB30" s="32">
        <f t="shared" si="5"/>
        <v>42735</v>
      </c>
      <c r="AC30" s="51">
        <v>28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1.4568305735056544</v>
      </c>
      <c r="AK30" s="23">
        <f t="shared" si="13"/>
        <v>40.791256058158325</v>
      </c>
      <c r="AL30" s="23">
        <f t="shared" si="14"/>
        <v>101.97814014539581</v>
      </c>
      <c r="AM30" s="23">
        <f t="shared" si="15"/>
        <v>0</v>
      </c>
      <c r="AN30" s="23">
        <f t="shared" si="16"/>
        <v>101.97814014539581</v>
      </c>
      <c r="AQ30" s="32">
        <f t="shared" si="17"/>
        <v>42736</v>
      </c>
      <c r="AR30" s="32">
        <f t="shared" si="18"/>
        <v>42916</v>
      </c>
      <c r="AS30" s="51">
        <v>28</v>
      </c>
      <c r="AT30" s="1">
        <f t="shared" si="19"/>
        <v>181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1</v>
      </c>
      <c r="AZ30" s="23">
        <f t="shared" si="25"/>
        <v>1.4568305735056544</v>
      </c>
      <c r="BA30" s="23">
        <f t="shared" si="26"/>
        <v>40.791256058158325</v>
      </c>
      <c r="BB30" s="23">
        <f t="shared" si="27"/>
        <v>101.97814014539581</v>
      </c>
      <c r="BC30" s="23">
        <f t="shared" si="28"/>
        <v>0</v>
      </c>
      <c r="BD30" s="23">
        <f t="shared" si="29"/>
        <v>101.97814014539581</v>
      </c>
    </row>
    <row r="31" spans="1:56">
      <c r="A31" s="1" t="s">
        <v>20</v>
      </c>
      <c r="B31" s="1" t="s">
        <v>55</v>
      </c>
      <c r="C31" s="1" t="s">
        <v>22</v>
      </c>
      <c r="D31" s="1" t="s">
        <v>56</v>
      </c>
      <c r="E31" s="51" t="s">
        <v>107</v>
      </c>
      <c r="F31" s="51" t="s">
        <v>108</v>
      </c>
      <c r="G31" s="51" t="s">
        <v>109</v>
      </c>
      <c r="H31" s="1" t="s">
        <v>937</v>
      </c>
      <c r="I31" s="1" t="s">
        <v>111</v>
      </c>
      <c r="J31" s="51" t="s">
        <v>112</v>
      </c>
      <c r="K31" s="51" t="s">
        <v>112</v>
      </c>
      <c r="L31" s="51" t="s">
        <v>112</v>
      </c>
      <c r="M31" s="1">
        <v>1858982</v>
      </c>
      <c r="N31" s="51" t="s">
        <v>1042</v>
      </c>
      <c r="O31" s="55">
        <f>DATE(2014,2,19)</f>
        <v>41689</v>
      </c>
      <c r="P31" s="55">
        <f>DATE(2017,7,10)</f>
        <v>42926</v>
      </c>
      <c r="Q31" s="51">
        <v>3850</v>
      </c>
      <c r="S31" s="51">
        <v>1.5</v>
      </c>
      <c r="U31" s="1">
        <f t="shared" si="0"/>
        <v>1238</v>
      </c>
      <c r="V31" s="31">
        <f t="shared" si="1"/>
        <v>3.109854604200323</v>
      </c>
      <c r="W31" s="31">
        <f t="shared" si="2"/>
        <v>1135.096930533118</v>
      </c>
      <c r="X31" s="31">
        <f t="shared" si="3"/>
        <v>1.4188711631663975</v>
      </c>
      <c r="AA31" s="32">
        <f t="shared" si="4"/>
        <v>42552</v>
      </c>
      <c r="AB31" s="32">
        <f t="shared" si="5"/>
        <v>42735</v>
      </c>
      <c r="AC31" s="51">
        <v>20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1.4188711631663975</v>
      </c>
      <c r="AK31" s="23">
        <f t="shared" si="13"/>
        <v>28.377423263327948</v>
      </c>
      <c r="AL31" s="23">
        <f t="shared" si="14"/>
        <v>42.566134894991919</v>
      </c>
      <c r="AM31" s="23">
        <f t="shared" si="15"/>
        <v>0</v>
      </c>
      <c r="AN31" s="23">
        <f t="shared" si="16"/>
        <v>42.566134894991919</v>
      </c>
      <c r="AQ31" s="32">
        <f t="shared" si="17"/>
        <v>42736</v>
      </c>
      <c r="AR31" s="32">
        <f t="shared" si="18"/>
        <v>42916</v>
      </c>
      <c r="AS31" s="51">
        <v>20</v>
      </c>
      <c r="AT31" s="1">
        <f t="shared" si="19"/>
        <v>181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1</v>
      </c>
      <c r="AZ31" s="23">
        <f t="shared" si="25"/>
        <v>1.4188711631663975</v>
      </c>
      <c r="BA31" s="23">
        <f t="shared" si="26"/>
        <v>28.377423263327948</v>
      </c>
      <c r="BB31" s="23">
        <f t="shared" si="27"/>
        <v>42.566134894991919</v>
      </c>
      <c r="BC31" s="23">
        <f t="shared" si="28"/>
        <v>0</v>
      </c>
      <c r="BD31" s="23">
        <f t="shared" si="29"/>
        <v>42.566134894991919</v>
      </c>
    </row>
    <row r="32" spans="1:56">
      <c r="A32" s="1" t="s">
        <v>20</v>
      </c>
      <c r="B32" s="1" t="s">
        <v>55</v>
      </c>
      <c r="C32" s="1" t="s">
        <v>22</v>
      </c>
      <c r="D32" s="1" t="s">
        <v>56</v>
      </c>
      <c r="E32" s="51" t="s">
        <v>107</v>
      </c>
      <c r="F32" s="51" t="s">
        <v>294</v>
      </c>
      <c r="G32" s="51" t="s">
        <v>109</v>
      </c>
      <c r="H32" s="1" t="s">
        <v>297</v>
      </c>
      <c r="I32" s="1" t="s">
        <v>147</v>
      </c>
      <c r="J32" s="51" t="s">
        <v>112</v>
      </c>
      <c r="K32" s="51" t="s">
        <v>112</v>
      </c>
      <c r="L32" s="51" t="s">
        <v>112</v>
      </c>
      <c r="M32" s="1">
        <v>1940815</v>
      </c>
      <c r="N32" s="50" t="s">
        <v>1043</v>
      </c>
      <c r="O32" s="55">
        <f>DATE(2014,2,17)</f>
        <v>41687</v>
      </c>
      <c r="P32" s="55">
        <f>DATE(2016,12,30)</f>
        <v>42734</v>
      </c>
      <c r="Q32" s="51">
        <v>2342</v>
      </c>
      <c r="S32" s="51">
        <v>2</v>
      </c>
      <c r="U32" s="1">
        <f t="shared" si="0"/>
        <v>1048</v>
      </c>
      <c r="V32" s="31">
        <f t="shared" si="1"/>
        <v>2.2347328244274811</v>
      </c>
      <c r="W32" s="31">
        <f t="shared" si="2"/>
        <v>815.67748091603062</v>
      </c>
      <c r="X32" s="31">
        <f t="shared" si="3"/>
        <v>1.0195968511450382</v>
      </c>
      <c r="AA32" s="32">
        <f t="shared" si="4"/>
        <v>42552</v>
      </c>
      <c r="AB32" s="32">
        <f t="shared" si="5"/>
        <v>42735</v>
      </c>
      <c r="AC32" s="50">
        <v>15</v>
      </c>
      <c r="AD32" s="1">
        <f t="shared" si="6"/>
        <v>0</v>
      </c>
      <c r="AE32" s="1">
        <f t="shared" si="7"/>
        <v>0</v>
      </c>
      <c r="AF32" s="1">
        <f t="shared" si="8"/>
        <v>183</v>
      </c>
      <c r="AG32" s="1">
        <f t="shared" si="9"/>
        <v>0</v>
      </c>
      <c r="AH32" s="1">
        <f t="shared" si="10"/>
        <v>0</v>
      </c>
      <c r="AI32" s="23">
        <f t="shared" si="11"/>
        <v>0.99456521739130432</v>
      </c>
      <c r="AJ32" s="23">
        <f t="shared" si="12"/>
        <v>1.0140555639105542</v>
      </c>
      <c r="AK32" s="23">
        <f t="shared" si="13"/>
        <v>15.210833458658312</v>
      </c>
      <c r="AL32" s="23">
        <f t="shared" si="14"/>
        <v>30.421666917316625</v>
      </c>
      <c r="AM32" s="23">
        <f t="shared" si="15"/>
        <v>0</v>
      </c>
      <c r="AN32" s="23">
        <f t="shared" si="16"/>
        <v>30.421666917316625</v>
      </c>
      <c r="AQ32" s="32">
        <f t="shared" si="17"/>
        <v>42736</v>
      </c>
      <c r="AR32" s="32">
        <f t="shared" si="18"/>
        <v>42916</v>
      </c>
      <c r="AS32" s="50">
        <v>12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0.50979842557251909</v>
      </c>
      <c r="BA32" s="23">
        <f t="shared" si="26"/>
        <v>3.0587905534351147</v>
      </c>
      <c r="BB32" s="23">
        <f t="shared" si="27"/>
        <v>6.1175811068702295</v>
      </c>
      <c r="BC32" s="23">
        <f t="shared" si="28"/>
        <v>0</v>
      </c>
      <c r="BD32" s="23">
        <f t="shared" si="29"/>
        <v>6.1175811068702295</v>
      </c>
    </row>
    <row r="33" spans="1:56">
      <c r="A33" s="1" t="s">
        <v>20</v>
      </c>
      <c r="B33" s="1" t="s">
        <v>55</v>
      </c>
      <c r="C33" s="1" t="s">
        <v>22</v>
      </c>
      <c r="D33" s="1" t="s">
        <v>56</v>
      </c>
      <c r="E33" s="51" t="s">
        <v>107</v>
      </c>
      <c r="F33" s="51" t="s">
        <v>114</v>
      </c>
      <c r="G33" s="51" t="s">
        <v>109</v>
      </c>
      <c r="H33" s="1" t="s">
        <v>1044</v>
      </c>
      <c r="I33" s="1" t="s">
        <v>116</v>
      </c>
      <c r="J33" s="51" t="s">
        <v>112</v>
      </c>
      <c r="K33" s="51" t="s">
        <v>112</v>
      </c>
      <c r="L33" s="51" t="s">
        <v>112</v>
      </c>
      <c r="M33" s="1">
        <v>1940932</v>
      </c>
      <c r="N33" s="50" t="s">
        <v>1045</v>
      </c>
      <c r="O33" s="55">
        <f>DATE(2014,3,17)</f>
        <v>41715</v>
      </c>
      <c r="P33" s="55">
        <f>DATE(2016,12,30)</f>
        <v>42734</v>
      </c>
      <c r="Q33" s="51">
        <v>2920</v>
      </c>
      <c r="S33" s="51">
        <v>2.5</v>
      </c>
      <c r="U33" s="1">
        <f t="shared" si="0"/>
        <v>1020</v>
      </c>
      <c r="V33" s="31">
        <f t="shared" si="1"/>
        <v>2.8627450980392157</v>
      </c>
      <c r="W33" s="31">
        <f t="shared" si="2"/>
        <v>1044.9019607843138</v>
      </c>
      <c r="X33" s="31">
        <f t="shared" si="3"/>
        <v>1.3061274509803922</v>
      </c>
      <c r="AA33" s="32">
        <f t="shared" si="4"/>
        <v>42552</v>
      </c>
      <c r="AB33" s="32">
        <f t="shared" si="5"/>
        <v>42735</v>
      </c>
      <c r="AC33" s="50">
        <v>27</v>
      </c>
      <c r="AD33" s="1">
        <f t="shared" si="6"/>
        <v>0</v>
      </c>
      <c r="AE33" s="1">
        <f t="shared" si="7"/>
        <v>0</v>
      </c>
      <c r="AF33" s="1">
        <f t="shared" si="8"/>
        <v>183</v>
      </c>
      <c r="AG33" s="1">
        <f t="shared" si="9"/>
        <v>0</v>
      </c>
      <c r="AH33" s="1">
        <f t="shared" si="10"/>
        <v>0</v>
      </c>
      <c r="AI33" s="23">
        <f t="shared" si="11"/>
        <v>0.99456521739130432</v>
      </c>
      <c r="AJ33" s="23">
        <f t="shared" si="12"/>
        <v>1.2990289322250639</v>
      </c>
      <c r="AK33" s="23">
        <f t="shared" si="13"/>
        <v>35.073781170076728</v>
      </c>
      <c r="AL33" s="23">
        <f t="shared" si="14"/>
        <v>87.68445292519182</v>
      </c>
      <c r="AM33" s="23">
        <f t="shared" si="15"/>
        <v>0</v>
      </c>
      <c r="AN33" s="23">
        <f t="shared" si="16"/>
        <v>87.68445292519182</v>
      </c>
      <c r="AQ33" s="32">
        <f t="shared" si="17"/>
        <v>42736</v>
      </c>
      <c r="AR33" s="32">
        <f t="shared" si="18"/>
        <v>42916</v>
      </c>
      <c r="AS33" s="50">
        <v>23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0.65306372549019609</v>
      </c>
      <c r="BA33" s="23">
        <f t="shared" si="26"/>
        <v>7.5102328431372554</v>
      </c>
      <c r="BB33" s="23">
        <f t="shared" si="27"/>
        <v>18.775582107843139</v>
      </c>
      <c r="BC33" s="23">
        <f t="shared" si="28"/>
        <v>0</v>
      </c>
      <c r="BD33" s="23">
        <f t="shared" si="29"/>
        <v>18.775582107843139</v>
      </c>
    </row>
    <row r="34" spans="1:56">
      <c r="A34" s="1" t="s">
        <v>20</v>
      </c>
      <c r="B34" s="1" t="s">
        <v>55</v>
      </c>
      <c r="C34" s="1" t="s">
        <v>22</v>
      </c>
      <c r="D34" s="1" t="s">
        <v>56</v>
      </c>
      <c r="E34" s="51" t="s">
        <v>107</v>
      </c>
      <c r="F34" s="51" t="s">
        <v>108</v>
      </c>
      <c r="G34" s="51" t="s">
        <v>109</v>
      </c>
      <c r="H34" s="1" t="s">
        <v>124</v>
      </c>
      <c r="I34" s="1" t="s">
        <v>125</v>
      </c>
      <c r="J34" s="51" t="s">
        <v>112</v>
      </c>
      <c r="K34" s="51" t="s">
        <v>112</v>
      </c>
      <c r="L34" s="51" t="s">
        <v>112</v>
      </c>
      <c r="M34" s="1">
        <v>1965238</v>
      </c>
      <c r="N34" s="50" t="s">
        <v>1046</v>
      </c>
      <c r="O34" s="55">
        <f>DATE(2014,9,29)</f>
        <v>41911</v>
      </c>
      <c r="P34" s="55">
        <f>DATE(2016,9,30)</f>
        <v>42643</v>
      </c>
      <c r="Q34" s="51">
        <v>1605</v>
      </c>
      <c r="S34" s="51">
        <v>2.5</v>
      </c>
      <c r="U34" s="1">
        <f t="shared" si="0"/>
        <v>733</v>
      </c>
      <c r="V34" s="31">
        <f t="shared" si="1"/>
        <v>2.1896316507503411</v>
      </c>
      <c r="W34" s="31">
        <f t="shared" si="2"/>
        <v>799.21555252387452</v>
      </c>
      <c r="X34" s="31">
        <f t="shared" si="3"/>
        <v>0.99901944065484316</v>
      </c>
      <c r="AA34" s="32">
        <f t="shared" si="4"/>
        <v>42552</v>
      </c>
      <c r="AB34" s="32">
        <f t="shared" si="5"/>
        <v>42735</v>
      </c>
      <c r="AC34" s="50">
        <v>13</v>
      </c>
      <c r="AD34" s="1">
        <f t="shared" si="6"/>
        <v>0</v>
      </c>
      <c r="AE34" s="1">
        <f t="shared" si="7"/>
        <v>0</v>
      </c>
      <c r="AF34" s="1">
        <f t="shared" si="8"/>
        <v>92</v>
      </c>
      <c r="AG34" s="1">
        <f t="shared" si="9"/>
        <v>0</v>
      </c>
      <c r="AH34" s="1">
        <f t="shared" si="10"/>
        <v>0</v>
      </c>
      <c r="AI34" s="23">
        <f t="shared" si="11"/>
        <v>0.5</v>
      </c>
      <c r="AJ34" s="23">
        <f t="shared" si="12"/>
        <v>0.49950972032742158</v>
      </c>
      <c r="AK34" s="23">
        <f t="shared" si="13"/>
        <v>6.4936263642564809</v>
      </c>
      <c r="AL34" s="23">
        <f t="shared" si="14"/>
        <v>16.234065910641203</v>
      </c>
      <c r="AM34" s="23">
        <f t="shared" si="15"/>
        <v>0</v>
      </c>
      <c r="AN34" s="23">
        <f t="shared" si="16"/>
        <v>16.234065910641203</v>
      </c>
      <c r="AQ34" s="32">
        <f t="shared" si="17"/>
        <v>42736</v>
      </c>
      <c r="AR34" s="32">
        <f t="shared" si="18"/>
        <v>42916</v>
      </c>
      <c r="AS34" s="50">
        <v>13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0.49950972032742158</v>
      </c>
      <c r="BA34" s="23">
        <f t="shared" si="26"/>
        <v>3.2468131821282404</v>
      </c>
      <c r="BB34" s="23">
        <f t="shared" si="27"/>
        <v>8.1170329553206013</v>
      </c>
      <c r="BC34" s="23">
        <f t="shared" si="28"/>
        <v>0</v>
      </c>
      <c r="BD34" s="23">
        <f t="shared" si="29"/>
        <v>8.1170329553206013</v>
      </c>
    </row>
    <row r="35" spans="1:56">
      <c r="A35" s="1" t="s">
        <v>20</v>
      </c>
      <c r="B35" s="1" t="s">
        <v>55</v>
      </c>
      <c r="C35" s="1" t="s">
        <v>22</v>
      </c>
      <c r="D35" s="1" t="s">
        <v>56</v>
      </c>
      <c r="E35" s="51" t="s">
        <v>107</v>
      </c>
      <c r="F35" s="51" t="s">
        <v>108</v>
      </c>
      <c r="G35" s="51" t="s">
        <v>109</v>
      </c>
      <c r="H35" s="1" t="s">
        <v>136</v>
      </c>
      <c r="I35" s="1" t="s">
        <v>131</v>
      </c>
      <c r="J35" s="51" t="s">
        <v>112</v>
      </c>
      <c r="K35" s="51" t="s">
        <v>112</v>
      </c>
      <c r="L35" s="51" t="s">
        <v>112</v>
      </c>
      <c r="M35" s="1">
        <v>1965242</v>
      </c>
      <c r="N35" s="50" t="s">
        <v>1047</v>
      </c>
      <c r="O35" s="55">
        <f>DATE(2014,9,29)</f>
        <v>41911</v>
      </c>
      <c r="P35" s="55">
        <f>DATE(2016,3,31)</f>
        <v>42460</v>
      </c>
      <c r="Q35" s="51">
        <v>1257</v>
      </c>
      <c r="S35" s="51">
        <v>1</v>
      </c>
      <c r="U35" s="1">
        <f t="shared" si="0"/>
        <v>550</v>
      </c>
      <c r="V35" s="31">
        <f t="shared" si="1"/>
        <v>2.2854545454545456</v>
      </c>
      <c r="W35" s="31">
        <f t="shared" si="2"/>
        <v>834.19090909090914</v>
      </c>
      <c r="X35" s="31">
        <f t="shared" si="3"/>
        <v>1.0427386363636364</v>
      </c>
      <c r="AA35" s="32">
        <f t="shared" si="4"/>
        <v>42552</v>
      </c>
      <c r="AB35" s="32">
        <f t="shared" si="5"/>
        <v>42735</v>
      </c>
      <c r="AC35" s="50">
        <v>10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0.5213693181818182</v>
      </c>
      <c r="AK35" s="23">
        <f t="shared" si="13"/>
        <v>2.606846590909091</v>
      </c>
      <c r="AL35" s="23">
        <f t="shared" si="14"/>
        <v>2.606846590909091</v>
      </c>
      <c r="AM35" s="23">
        <f t="shared" si="15"/>
        <v>0</v>
      </c>
      <c r="AN35" s="23">
        <f t="shared" si="16"/>
        <v>2.606846590909091</v>
      </c>
      <c r="AQ35" s="32">
        <f t="shared" si="17"/>
        <v>42736</v>
      </c>
      <c r="AR35" s="32">
        <f t="shared" si="18"/>
        <v>42916</v>
      </c>
      <c r="AS35" s="50">
        <v>9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0.5213693181818182</v>
      </c>
      <c r="BA35" s="23">
        <f t="shared" si="26"/>
        <v>2.3461619318181821</v>
      </c>
      <c r="BB35" s="23">
        <f t="shared" si="27"/>
        <v>2.3461619318181821</v>
      </c>
      <c r="BC35" s="23">
        <f t="shared" si="28"/>
        <v>0</v>
      </c>
      <c r="BD35" s="23">
        <f t="shared" si="29"/>
        <v>2.3461619318181821</v>
      </c>
    </row>
    <row r="36" spans="1:56">
      <c r="A36" s="1" t="s">
        <v>20</v>
      </c>
      <c r="B36" s="1" t="s">
        <v>55</v>
      </c>
      <c r="C36" s="1" t="s">
        <v>22</v>
      </c>
      <c r="D36" s="1" t="s">
        <v>56</v>
      </c>
      <c r="E36" s="51" t="s">
        <v>107</v>
      </c>
      <c r="F36" s="51" t="s">
        <v>108</v>
      </c>
      <c r="G36" s="51" t="s">
        <v>109</v>
      </c>
      <c r="H36" s="1" t="s">
        <v>937</v>
      </c>
      <c r="I36" s="1" t="s">
        <v>111</v>
      </c>
      <c r="J36" s="51" t="s">
        <v>112</v>
      </c>
      <c r="K36" s="51" t="s">
        <v>112</v>
      </c>
      <c r="L36" s="51" t="s">
        <v>112</v>
      </c>
      <c r="M36" s="1">
        <v>1965243</v>
      </c>
      <c r="N36" s="50" t="s">
        <v>1048</v>
      </c>
      <c r="O36" s="55">
        <f>DATE(2014,9,29)</f>
        <v>41911</v>
      </c>
      <c r="P36" s="55">
        <f>DATE(2016,3,31)</f>
        <v>42460</v>
      </c>
      <c r="Q36" s="51">
        <v>1240</v>
      </c>
      <c r="S36" s="51">
        <v>1.5</v>
      </c>
      <c r="U36" s="1">
        <f t="shared" ref="U36:U67" si="31">P36-O36+1</f>
        <v>550</v>
      </c>
      <c r="V36" s="31">
        <f t="shared" ref="V36:V67" si="32">Q36/U36</f>
        <v>2.2545454545454544</v>
      </c>
      <c r="W36" s="31">
        <f t="shared" ref="W36:W67" si="33">IF(U36&gt;365,V36*365,Q36)</f>
        <v>822.90909090909088</v>
      </c>
      <c r="X36" s="31">
        <f t="shared" ref="X36:X67" si="34">IF(U36&gt;365,W36/800,Q36/800)</f>
        <v>1.0286363636363636</v>
      </c>
      <c r="AA36" s="32">
        <f t="shared" ref="AA36:AA67" si="35">DATE(2016,7,1)</f>
        <v>42552</v>
      </c>
      <c r="AB36" s="32">
        <f t="shared" ref="AB36:AB67" si="36">DATE(2016,12,31)</f>
        <v>42735</v>
      </c>
      <c r="AC36" s="50">
        <v>5</v>
      </c>
      <c r="AD36" s="1">
        <f t="shared" ref="AD36:AD67" si="37">IF(AND(O36&lt;AA36,P36&gt;AB36),AB36-AA36+1,0)</f>
        <v>0</v>
      </c>
      <c r="AE36" s="1">
        <f t="shared" ref="AE36:AE67" si="38">IF(AND(O36&gt;=AA36,P36&gt;AB36,O36&lt;AB36),AB36-O36+1,0)</f>
        <v>0</v>
      </c>
      <c r="AF36" s="1">
        <f t="shared" ref="AF36:AF67" si="39">IF(AND(O36&lt;AA36,P36&lt;=AB36,P36&gt;=AA36),P36-AA36+1,0)</f>
        <v>0</v>
      </c>
      <c r="AG36" s="1">
        <f t="shared" ref="AG36:AG67" si="40">IF(AND(O36&gt;=AA36,P36&lt;=AB36),P36-O36+1,0)</f>
        <v>0</v>
      </c>
      <c r="AH36" s="1">
        <f t="shared" ref="AH36:AH67" si="41">IF(AND(O36&lt;AA36,P36&lt;AA36),(AB36-AA36+1)/2,0)</f>
        <v>92</v>
      </c>
      <c r="AI36" s="23">
        <f t="shared" ref="AI36:AI67" si="42">SUM(AD36:AH36)/(AB36-AA36+1)</f>
        <v>0.5</v>
      </c>
      <c r="AJ36" s="23">
        <f t="shared" ref="AJ36:AJ67" si="43">X36*AI36</f>
        <v>0.51431818181818179</v>
      </c>
      <c r="AK36" s="23">
        <f t="shared" ref="AK36:AK67" si="44">IF(AH36=0,AJ36*AC36,IF(AA36-P36&gt;1095,0,AJ36*(AC36/2)))</f>
        <v>1.2857954545454544</v>
      </c>
      <c r="AL36" s="23">
        <f t="shared" ref="AL36:AL67" si="45">AK36*S36</f>
        <v>1.9286931818181816</v>
      </c>
      <c r="AM36" s="23">
        <f t="shared" ref="AM36:AM67" si="46">IF(J36="SIM",AL36*50%,0)</f>
        <v>0</v>
      </c>
      <c r="AN36" s="23">
        <f t="shared" ref="AN36:AN67" si="47">AL36+AM36</f>
        <v>1.9286931818181816</v>
      </c>
      <c r="AQ36" s="32">
        <f t="shared" ref="AQ36:AQ67" si="48">DATE(2017,1,1)</f>
        <v>42736</v>
      </c>
      <c r="AR36" s="32">
        <f t="shared" ref="AR36:AR67" si="49">DATE(2017,6,30)</f>
        <v>42916</v>
      </c>
      <c r="AS36" s="50">
        <v>5</v>
      </c>
      <c r="AT36" s="1">
        <f t="shared" ref="AT36:AT67" si="50">IF(AND(O36&lt;AQ36,P36&gt;AR36),AR36-AQ36+1,0)</f>
        <v>0</v>
      </c>
      <c r="AU36" s="1">
        <f t="shared" ref="AU36:AU67" si="51">IF(AND(O36&gt;=AQ36,P36&gt;AR36,O36&lt;AR36),AR36-O36+1,0)</f>
        <v>0</v>
      </c>
      <c r="AV36" s="1">
        <f t="shared" ref="AV36:AV67" si="52">IF(AND(O36&lt;AQ36,P36&lt;=AR36,P36&gt;=AQ36),P36-AQ36+1,0)</f>
        <v>0</v>
      </c>
      <c r="AW36" s="1">
        <f t="shared" ref="AW36:AW67" si="53">IF(AND(O36&gt;=AQ36,P36&lt;=AR36),P36-O36+1,0)</f>
        <v>0</v>
      </c>
      <c r="AX36" s="1">
        <f t="shared" ref="AX36:AX67" si="54">IF(AND(O36&lt;AQ36,P36&lt;AQ36),(AR36-AQ36+1)/2,0)</f>
        <v>90.5</v>
      </c>
      <c r="AY36" s="23">
        <f t="shared" ref="AY36:AY67" si="55">SUM(AT36:AX36)/(AR36-AQ36+1)</f>
        <v>0.5</v>
      </c>
      <c r="AZ36" s="23">
        <f t="shared" ref="AZ36:AZ67" si="56">X36*AY36</f>
        <v>0.51431818181818179</v>
      </c>
      <c r="BA36" s="23">
        <f t="shared" ref="BA36:BA67" si="57">IF(AX36=0,AZ36*AS36,IF(AQ36-P36&gt;1095,0,AZ36*(AS36/2)))</f>
        <v>1.2857954545454544</v>
      </c>
      <c r="BB36" s="23">
        <f t="shared" ref="BB36:BB67" si="58">BA36*S36</f>
        <v>1.9286931818181816</v>
      </c>
      <c r="BC36" s="23">
        <f t="shared" ref="BC36:BC67" si="59">IF(J36="SIM",BB36*50%,0)</f>
        <v>0</v>
      </c>
      <c r="BD36" s="23">
        <f t="shared" ref="BD36:BD67" si="60">BB36+BC36</f>
        <v>1.9286931818181816</v>
      </c>
    </row>
    <row r="37" spans="1:56">
      <c r="A37" s="1" t="s">
        <v>20</v>
      </c>
      <c r="B37" s="1" t="s">
        <v>55</v>
      </c>
      <c r="C37" s="1" t="s">
        <v>22</v>
      </c>
      <c r="D37" s="1" t="s">
        <v>56</v>
      </c>
      <c r="E37" s="51" t="s">
        <v>154</v>
      </c>
      <c r="F37" s="51" t="s">
        <v>108</v>
      </c>
      <c r="G37" s="51" t="s">
        <v>109</v>
      </c>
      <c r="H37" s="1" t="s">
        <v>110</v>
      </c>
      <c r="I37" s="1" t="s">
        <v>111</v>
      </c>
      <c r="J37" s="51" t="s">
        <v>112</v>
      </c>
      <c r="K37" s="51" t="s">
        <v>112</v>
      </c>
      <c r="L37" s="51" t="s">
        <v>148</v>
      </c>
      <c r="M37" s="1">
        <v>1966560</v>
      </c>
      <c r="N37" s="50" t="s">
        <v>1049</v>
      </c>
      <c r="O37" s="55">
        <f t="shared" ref="O37:O46" si="61">DATE(2014,10,27)</f>
        <v>41939</v>
      </c>
      <c r="P37" s="55">
        <f t="shared" ref="P37:P46" si="62">DATE(2016,4,29)</f>
        <v>42489</v>
      </c>
      <c r="Q37" s="51">
        <v>1130</v>
      </c>
      <c r="S37" s="51">
        <v>2</v>
      </c>
      <c r="U37" s="1">
        <f t="shared" si="31"/>
        <v>551</v>
      </c>
      <c r="V37" s="31">
        <f t="shared" si="32"/>
        <v>2.0508166969147004</v>
      </c>
      <c r="W37" s="31">
        <f t="shared" si="33"/>
        <v>748.54809437386564</v>
      </c>
      <c r="X37" s="31">
        <f t="shared" si="34"/>
        <v>0.935685117967332</v>
      </c>
      <c r="AA37" s="32">
        <f t="shared" si="35"/>
        <v>42552</v>
      </c>
      <c r="AB37" s="32">
        <f t="shared" si="36"/>
        <v>42735</v>
      </c>
      <c r="AC37" s="50">
        <v>46</v>
      </c>
      <c r="AD37" s="1">
        <f t="shared" si="37"/>
        <v>0</v>
      </c>
      <c r="AE37" s="1">
        <f t="shared" si="38"/>
        <v>0</v>
      </c>
      <c r="AF37" s="1">
        <f t="shared" si="39"/>
        <v>0</v>
      </c>
      <c r="AG37" s="1">
        <f t="shared" si="40"/>
        <v>0</v>
      </c>
      <c r="AH37" s="1">
        <f t="shared" si="41"/>
        <v>92</v>
      </c>
      <c r="AI37" s="23">
        <f t="shared" si="42"/>
        <v>0.5</v>
      </c>
      <c r="AJ37" s="23">
        <f t="shared" si="43"/>
        <v>0.467842558983666</v>
      </c>
      <c r="AK37" s="23">
        <f t="shared" si="44"/>
        <v>10.760378856624317</v>
      </c>
      <c r="AL37" s="23">
        <f t="shared" si="45"/>
        <v>21.520757713248635</v>
      </c>
      <c r="AM37" s="23">
        <f t="shared" si="46"/>
        <v>0</v>
      </c>
      <c r="AN37" s="23">
        <f t="shared" si="47"/>
        <v>21.520757713248635</v>
      </c>
      <c r="AQ37" s="32">
        <f t="shared" si="48"/>
        <v>42736</v>
      </c>
      <c r="AR37" s="32">
        <f t="shared" si="49"/>
        <v>42916</v>
      </c>
      <c r="AS37" s="50">
        <v>46</v>
      </c>
      <c r="AT37" s="1">
        <f t="shared" si="50"/>
        <v>0</v>
      </c>
      <c r="AU37" s="1">
        <f t="shared" si="51"/>
        <v>0</v>
      </c>
      <c r="AV37" s="1">
        <f t="shared" si="52"/>
        <v>0</v>
      </c>
      <c r="AW37" s="1">
        <f t="shared" si="53"/>
        <v>0</v>
      </c>
      <c r="AX37" s="1">
        <f t="shared" si="54"/>
        <v>90.5</v>
      </c>
      <c r="AY37" s="23">
        <f t="shared" si="55"/>
        <v>0.5</v>
      </c>
      <c r="AZ37" s="23">
        <f t="shared" si="56"/>
        <v>0.467842558983666</v>
      </c>
      <c r="BA37" s="23">
        <f t="shared" si="57"/>
        <v>10.760378856624317</v>
      </c>
      <c r="BB37" s="23">
        <f t="shared" si="58"/>
        <v>21.520757713248635</v>
      </c>
      <c r="BC37" s="23">
        <f t="shared" si="59"/>
        <v>0</v>
      </c>
      <c r="BD37" s="23">
        <f t="shared" si="60"/>
        <v>21.520757713248635</v>
      </c>
    </row>
    <row r="38" spans="1:56">
      <c r="A38" s="1" t="s">
        <v>20</v>
      </c>
      <c r="B38" s="1" t="s">
        <v>55</v>
      </c>
      <c r="C38" s="1" t="s">
        <v>22</v>
      </c>
      <c r="D38" s="1" t="s">
        <v>56</v>
      </c>
      <c r="E38" s="51" t="s">
        <v>154</v>
      </c>
      <c r="F38" s="51" t="s">
        <v>108</v>
      </c>
      <c r="G38" s="51" t="s">
        <v>109</v>
      </c>
      <c r="H38" s="1" t="s">
        <v>224</v>
      </c>
      <c r="I38" s="1" t="s">
        <v>167</v>
      </c>
      <c r="J38" s="51" t="s">
        <v>112</v>
      </c>
      <c r="K38" s="51" t="s">
        <v>112</v>
      </c>
      <c r="L38" s="51" t="s">
        <v>148</v>
      </c>
      <c r="M38" s="1">
        <v>1966561</v>
      </c>
      <c r="N38" s="50" t="s">
        <v>1050</v>
      </c>
      <c r="O38" s="55">
        <f t="shared" si="61"/>
        <v>41939</v>
      </c>
      <c r="P38" s="55">
        <f t="shared" si="62"/>
        <v>42489</v>
      </c>
      <c r="Q38" s="51">
        <v>1680</v>
      </c>
      <c r="S38" s="51">
        <v>1</v>
      </c>
      <c r="U38" s="1">
        <f t="shared" si="31"/>
        <v>551</v>
      </c>
      <c r="V38" s="31">
        <f t="shared" si="32"/>
        <v>3.0490018148820326</v>
      </c>
      <c r="W38" s="31">
        <f t="shared" si="33"/>
        <v>1112.8856624319419</v>
      </c>
      <c r="X38" s="31">
        <f t="shared" si="34"/>
        <v>1.3911070780399273</v>
      </c>
      <c r="AA38" s="32">
        <f t="shared" si="35"/>
        <v>42552</v>
      </c>
      <c r="AB38" s="32">
        <f t="shared" si="36"/>
        <v>42735</v>
      </c>
      <c r="AC38" s="50">
        <v>40</v>
      </c>
      <c r="AD38" s="1">
        <f t="shared" si="37"/>
        <v>0</v>
      </c>
      <c r="AE38" s="1">
        <f t="shared" si="38"/>
        <v>0</v>
      </c>
      <c r="AF38" s="1">
        <f t="shared" si="39"/>
        <v>0</v>
      </c>
      <c r="AG38" s="1">
        <f t="shared" si="40"/>
        <v>0</v>
      </c>
      <c r="AH38" s="1">
        <f t="shared" si="41"/>
        <v>92</v>
      </c>
      <c r="AI38" s="23">
        <f t="shared" si="42"/>
        <v>0.5</v>
      </c>
      <c r="AJ38" s="23">
        <f t="shared" si="43"/>
        <v>0.69555353901996364</v>
      </c>
      <c r="AK38" s="23">
        <f t="shared" si="44"/>
        <v>13.911070780399273</v>
      </c>
      <c r="AL38" s="23">
        <f t="shared" si="45"/>
        <v>13.911070780399273</v>
      </c>
      <c r="AM38" s="23">
        <f t="shared" si="46"/>
        <v>0</v>
      </c>
      <c r="AN38" s="23">
        <f t="shared" si="47"/>
        <v>13.911070780399273</v>
      </c>
      <c r="AQ38" s="32">
        <f t="shared" si="48"/>
        <v>42736</v>
      </c>
      <c r="AR38" s="32">
        <f t="shared" si="49"/>
        <v>42916</v>
      </c>
      <c r="AS38" s="50">
        <v>40</v>
      </c>
      <c r="AT38" s="1">
        <f t="shared" si="50"/>
        <v>0</v>
      </c>
      <c r="AU38" s="1">
        <f t="shared" si="51"/>
        <v>0</v>
      </c>
      <c r="AV38" s="1">
        <f t="shared" si="52"/>
        <v>0</v>
      </c>
      <c r="AW38" s="1">
        <f t="shared" si="53"/>
        <v>0</v>
      </c>
      <c r="AX38" s="1">
        <f t="shared" si="54"/>
        <v>90.5</v>
      </c>
      <c r="AY38" s="23">
        <f t="shared" si="55"/>
        <v>0.5</v>
      </c>
      <c r="AZ38" s="23">
        <f t="shared" si="56"/>
        <v>0.69555353901996364</v>
      </c>
      <c r="BA38" s="23">
        <f t="shared" si="57"/>
        <v>13.911070780399273</v>
      </c>
      <c r="BB38" s="23">
        <f t="shared" si="58"/>
        <v>13.911070780399273</v>
      </c>
      <c r="BC38" s="23">
        <f t="shared" si="59"/>
        <v>0</v>
      </c>
      <c r="BD38" s="23">
        <f t="shared" si="60"/>
        <v>13.911070780399273</v>
      </c>
    </row>
    <row r="39" spans="1:56">
      <c r="A39" s="1" t="s">
        <v>20</v>
      </c>
      <c r="B39" s="1" t="s">
        <v>55</v>
      </c>
      <c r="C39" s="1" t="s">
        <v>22</v>
      </c>
      <c r="D39" s="1" t="s">
        <v>56</v>
      </c>
      <c r="E39" s="51" t="s">
        <v>154</v>
      </c>
      <c r="F39" s="51" t="s">
        <v>108</v>
      </c>
      <c r="G39" s="51" t="s">
        <v>109</v>
      </c>
      <c r="H39" s="1" t="s">
        <v>169</v>
      </c>
      <c r="I39" s="1" t="s">
        <v>116</v>
      </c>
      <c r="J39" s="51" t="s">
        <v>112</v>
      </c>
      <c r="K39" s="51" t="s">
        <v>112</v>
      </c>
      <c r="L39" s="51" t="s">
        <v>148</v>
      </c>
      <c r="M39" s="1">
        <v>1966562</v>
      </c>
      <c r="N39" s="50" t="s">
        <v>1051</v>
      </c>
      <c r="O39" s="55">
        <f t="shared" si="61"/>
        <v>41939</v>
      </c>
      <c r="P39" s="55">
        <f t="shared" si="62"/>
        <v>42489</v>
      </c>
      <c r="Q39" s="51">
        <v>1680</v>
      </c>
      <c r="S39" s="51">
        <v>2</v>
      </c>
      <c r="U39" s="1">
        <f t="shared" si="31"/>
        <v>551</v>
      </c>
      <c r="V39" s="31">
        <f t="shared" si="32"/>
        <v>3.0490018148820326</v>
      </c>
      <c r="W39" s="31">
        <f t="shared" si="33"/>
        <v>1112.8856624319419</v>
      </c>
      <c r="X39" s="31">
        <f t="shared" si="34"/>
        <v>1.3911070780399273</v>
      </c>
      <c r="AA39" s="32">
        <f t="shared" si="35"/>
        <v>42552</v>
      </c>
      <c r="AB39" s="32">
        <f t="shared" si="36"/>
        <v>42735</v>
      </c>
      <c r="AC39" s="50">
        <v>19</v>
      </c>
      <c r="AD39" s="1">
        <f t="shared" si="37"/>
        <v>0</v>
      </c>
      <c r="AE39" s="1">
        <f t="shared" si="38"/>
        <v>0</v>
      </c>
      <c r="AF39" s="1">
        <f t="shared" si="39"/>
        <v>0</v>
      </c>
      <c r="AG39" s="1">
        <f t="shared" si="40"/>
        <v>0</v>
      </c>
      <c r="AH39" s="1">
        <f t="shared" si="41"/>
        <v>92</v>
      </c>
      <c r="AI39" s="23">
        <f t="shared" si="42"/>
        <v>0.5</v>
      </c>
      <c r="AJ39" s="23">
        <f t="shared" si="43"/>
        <v>0.69555353901996364</v>
      </c>
      <c r="AK39" s="23">
        <f t="shared" si="44"/>
        <v>6.6077586206896548</v>
      </c>
      <c r="AL39" s="23">
        <f t="shared" si="45"/>
        <v>13.21551724137931</v>
      </c>
      <c r="AM39" s="23">
        <f t="shared" si="46"/>
        <v>0</v>
      </c>
      <c r="AN39" s="23">
        <f t="shared" si="47"/>
        <v>13.21551724137931</v>
      </c>
      <c r="AQ39" s="32">
        <f t="shared" si="48"/>
        <v>42736</v>
      </c>
      <c r="AR39" s="32">
        <f t="shared" si="49"/>
        <v>42916</v>
      </c>
      <c r="AS39" s="50">
        <v>19</v>
      </c>
      <c r="AT39" s="1">
        <f t="shared" si="50"/>
        <v>0</v>
      </c>
      <c r="AU39" s="1">
        <f t="shared" si="51"/>
        <v>0</v>
      </c>
      <c r="AV39" s="1">
        <f t="shared" si="52"/>
        <v>0</v>
      </c>
      <c r="AW39" s="1">
        <f t="shared" si="53"/>
        <v>0</v>
      </c>
      <c r="AX39" s="1">
        <f t="shared" si="54"/>
        <v>90.5</v>
      </c>
      <c r="AY39" s="23">
        <f t="shared" si="55"/>
        <v>0.5</v>
      </c>
      <c r="AZ39" s="23">
        <f t="shared" si="56"/>
        <v>0.69555353901996364</v>
      </c>
      <c r="BA39" s="23">
        <f t="shared" si="57"/>
        <v>6.6077586206896548</v>
      </c>
      <c r="BB39" s="23">
        <f t="shared" si="58"/>
        <v>13.21551724137931</v>
      </c>
      <c r="BC39" s="23">
        <f t="shared" si="59"/>
        <v>0</v>
      </c>
      <c r="BD39" s="23">
        <f t="shared" si="60"/>
        <v>13.21551724137931</v>
      </c>
    </row>
    <row r="40" spans="1:56">
      <c r="A40" s="1" t="s">
        <v>20</v>
      </c>
      <c r="B40" s="1" t="s">
        <v>55</v>
      </c>
      <c r="C40" s="1" t="s">
        <v>22</v>
      </c>
      <c r="D40" s="1" t="s">
        <v>56</v>
      </c>
      <c r="E40" s="51" t="s">
        <v>154</v>
      </c>
      <c r="F40" s="51" t="s">
        <v>108</v>
      </c>
      <c r="G40" s="51" t="s">
        <v>109</v>
      </c>
      <c r="H40" s="1" t="s">
        <v>110</v>
      </c>
      <c r="I40" s="1" t="s">
        <v>111</v>
      </c>
      <c r="J40" s="51" t="s">
        <v>112</v>
      </c>
      <c r="K40" s="51" t="s">
        <v>112</v>
      </c>
      <c r="L40" s="51" t="s">
        <v>148</v>
      </c>
      <c r="M40" s="1">
        <v>1966563</v>
      </c>
      <c r="N40" s="50" t="s">
        <v>1052</v>
      </c>
      <c r="O40" s="55">
        <f t="shared" si="61"/>
        <v>41939</v>
      </c>
      <c r="P40" s="55">
        <f t="shared" si="62"/>
        <v>42489</v>
      </c>
      <c r="Q40" s="51">
        <v>1130</v>
      </c>
      <c r="S40" s="51">
        <v>2</v>
      </c>
      <c r="U40" s="1">
        <f t="shared" si="31"/>
        <v>551</v>
      </c>
      <c r="V40" s="31">
        <f t="shared" si="32"/>
        <v>2.0508166969147004</v>
      </c>
      <c r="W40" s="31">
        <f t="shared" si="33"/>
        <v>748.54809437386564</v>
      </c>
      <c r="X40" s="31">
        <f t="shared" si="34"/>
        <v>0.935685117967332</v>
      </c>
      <c r="AA40" s="32">
        <f t="shared" si="35"/>
        <v>42552</v>
      </c>
      <c r="AB40" s="32">
        <f t="shared" si="36"/>
        <v>42735</v>
      </c>
      <c r="AC40" s="50">
        <v>49</v>
      </c>
      <c r="AD40" s="1">
        <f t="shared" si="37"/>
        <v>0</v>
      </c>
      <c r="AE40" s="1">
        <f t="shared" si="38"/>
        <v>0</v>
      </c>
      <c r="AF40" s="1">
        <f t="shared" si="39"/>
        <v>0</v>
      </c>
      <c r="AG40" s="1">
        <f t="shared" si="40"/>
        <v>0</v>
      </c>
      <c r="AH40" s="1">
        <f t="shared" si="41"/>
        <v>92</v>
      </c>
      <c r="AI40" s="23">
        <f t="shared" si="42"/>
        <v>0.5</v>
      </c>
      <c r="AJ40" s="23">
        <f t="shared" si="43"/>
        <v>0.467842558983666</v>
      </c>
      <c r="AK40" s="23">
        <f t="shared" si="44"/>
        <v>11.462142695099818</v>
      </c>
      <c r="AL40" s="23">
        <f t="shared" si="45"/>
        <v>22.924285390199636</v>
      </c>
      <c r="AM40" s="23">
        <f t="shared" si="46"/>
        <v>0</v>
      </c>
      <c r="AN40" s="23">
        <f t="shared" si="47"/>
        <v>22.924285390199636</v>
      </c>
      <c r="AQ40" s="32">
        <f t="shared" si="48"/>
        <v>42736</v>
      </c>
      <c r="AR40" s="32">
        <f t="shared" si="49"/>
        <v>42916</v>
      </c>
      <c r="AS40" s="50">
        <v>49</v>
      </c>
      <c r="AT40" s="1">
        <f t="shared" si="50"/>
        <v>0</v>
      </c>
      <c r="AU40" s="1">
        <f t="shared" si="51"/>
        <v>0</v>
      </c>
      <c r="AV40" s="1">
        <f t="shared" si="52"/>
        <v>0</v>
      </c>
      <c r="AW40" s="1">
        <f t="shared" si="53"/>
        <v>0</v>
      </c>
      <c r="AX40" s="1">
        <f t="shared" si="54"/>
        <v>90.5</v>
      </c>
      <c r="AY40" s="23">
        <f t="shared" si="55"/>
        <v>0.5</v>
      </c>
      <c r="AZ40" s="23">
        <f t="shared" si="56"/>
        <v>0.467842558983666</v>
      </c>
      <c r="BA40" s="23">
        <f t="shared" si="57"/>
        <v>11.462142695099818</v>
      </c>
      <c r="BB40" s="23">
        <f t="shared" si="58"/>
        <v>22.924285390199636</v>
      </c>
      <c r="BC40" s="23">
        <f t="shared" si="59"/>
        <v>0</v>
      </c>
      <c r="BD40" s="23">
        <f t="shared" si="60"/>
        <v>22.924285390199636</v>
      </c>
    </row>
    <row r="41" spans="1:56">
      <c r="A41" s="1" t="s">
        <v>20</v>
      </c>
      <c r="B41" s="1" t="s">
        <v>55</v>
      </c>
      <c r="C41" s="1" t="s">
        <v>22</v>
      </c>
      <c r="D41" s="1" t="s">
        <v>56</v>
      </c>
      <c r="E41" s="51" t="s">
        <v>154</v>
      </c>
      <c r="F41" s="51" t="s">
        <v>108</v>
      </c>
      <c r="G41" s="51" t="s">
        <v>109</v>
      </c>
      <c r="H41" s="1" t="s">
        <v>224</v>
      </c>
      <c r="I41" s="1" t="s">
        <v>167</v>
      </c>
      <c r="J41" s="51" t="s">
        <v>112</v>
      </c>
      <c r="K41" s="51" t="s">
        <v>112</v>
      </c>
      <c r="L41" s="51" t="s">
        <v>148</v>
      </c>
      <c r="M41" s="1">
        <v>1966564</v>
      </c>
      <c r="N41" s="50" t="s">
        <v>1053</v>
      </c>
      <c r="O41" s="55">
        <f t="shared" si="61"/>
        <v>41939</v>
      </c>
      <c r="P41" s="55">
        <f t="shared" si="62"/>
        <v>42489</v>
      </c>
      <c r="Q41" s="51">
        <v>1680</v>
      </c>
      <c r="S41" s="51">
        <v>1</v>
      </c>
      <c r="U41" s="1">
        <f t="shared" si="31"/>
        <v>551</v>
      </c>
      <c r="V41" s="31">
        <f t="shared" si="32"/>
        <v>3.0490018148820326</v>
      </c>
      <c r="W41" s="31">
        <f t="shared" si="33"/>
        <v>1112.8856624319419</v>
      </c>
      <c r="X41" s="31">
        <f t="shared" si="34"/>
        <v>1.3911070780399273</v>
      </c>
      <c r="AA41" s="32">
        <f t="shared" si="35"/>
        <v>42552</v>
      </c>
      <c r="AB41" s="32">
        <f t="shared" si="36"/>
        <v>42735</v>
      </c>
      <c r="AC41" s="50">
        <v>39</v>
      </c>
      <c r="AD41" s="1">
        <f t="shared" si="37"/>
        <v>0</v>
      </c>
      <c r="AE41" s="1">
        <f t="shared" si="38"/>
        <v>0</v>
      </c>
      <c r="AF41" s="1">
        <f t="shared" si="39"/>
        <v>0</v>
      </c>
      <c r="AG41" s="1">
        <f t="shared" si="40"/>
        <v>0</v>
      </c>
      <c r="AH41" s="1">
        <f t="shared" si="41"/>
        <v>92</v>
      </c>
      <c r="AI41" s="23">
        <f t="shared" si="42"/>
        <v>0.5</v>
      </c>
      <c r="AJ41" s="23">
        <f t="shared" si="43"/>
        <v>0.69555353901996364</v>
      </c>
      <c r="AK41" s="23">
        <f t="shared" si="44"/>
        <v>13.56329401088929</v>
      </c>
      <c r="AL41" s="23">
        <f t="shared" si="45"/>
        <v>13.56329401088929</v>
      </c>
      <c r="AM41" s="23">
        <f t="shared" si="46"/>
        <v>0</v>
      </c>
      <c r="AN41" s="23">
        <f t="shared" si="47"/>
        <v>13.56329401088929</v>
      </c>
      <c r="AQ41" s="32">
        <f t="shared" si="48"/>
        <v>42736</v>
      </c>
      <c r="AR41" s="32">
        <f t="shared" si="49"/>
        <v>42916</v>
      </c>
      <c r="AS41" s="50">
        <v>39</v>
      </c>
      <c r="AT41" s="1">
        <f t="shared" si="50"/>
        <v>0</v>
      </c>
      <c r="AU41" s="1">
        <f t="shared" si="51"/>
        <v>0</v>
      </c>
      <c r="AV41" s="1">
        <f t="shared" si="52"/>
        <v>0</v>
      </c>
      <c r="AW41" s="1">
        <f t="shared" si="53"/>
        <v>0</v>
      </c>
      <c r="AX41" s="1">
        <f t="shared" si="54"/>
        <v>90.5</v>
      </c>
      <c r="AY41" s="23">
        <f t="shared" si="55"/>
        <v>0.5</v>
      </c>
      <c r="AZ41" s="23">
        <f t="shared" si="56"/>
        <v>0.69555353901996364</v>
      </c>
      <c r="BA41" s="23">
        <f t="shared" si="57"/>
        <v>13.56329401088929</v>
      </c>
      <c r="BB41" s="23">
        <f t="shared" si="58"/>
        <v>13.56329401088929</v>
      </c>
      <c r="BC41" s="23">
        <f t="shared" si="59"/>
        <v>0</v>
      </c>
      <c r="BD41" s="23">
        <f t="shared" si="60"/>
        <v>13.56329401088929</v>
      </c>
    </row>
    <row r="42" spans="1:56">
      <c r="A42" s="1" t="s">
        <v>20</v>
      </c>
      <c r="B42" s="1" t="s">
        <v>55</v>
      </c>
      <c r="C42" s="1" t="s">
        <v>22</v>
      </c>
      <c r="D42" s="1" t="s">
        <v>56</v>
      </c>
      <c r="E42" s="51" t="s">
        <v>154</v>
      </c>
      <c r="F42" s="51" t="s">
        <v>108</v>
      </c>
      <c r="G42" s="51" t="s">
        <v>109</v>
      </c>
      <c r="H42" s="1" t="s">
        <v>169</v>
      </c>
      <c r="I42" s="1" t="s">
        <v>116</v>
      </c>
      <c r="J42" s="51" t="s">
        <v>112</v>
      </c>
      <c r="K42" s="51" t="s">
        <v>112</v>
      </c>
      <c r="L42" s="51" t="s">
        <v>148</v>
      </c>
      <c r="M42" s="1">
        <v>1966565</v>
      </c>
      <c r="N42" s="50" t="s">
        <v>1054</v>
      </c>
      <c r="O42" s="55">
        <f t="shared" si="61"/>
        <v>41939</v>
      </c>
      <c r="P42" s="55">
        <f t="shared" si="62"/>
        <v>42489</v>
      </c>
      <c r="Q42" s="51">
        <v>1680</v>
      </c>
      <c r="S42" s="51">
        <v>2</v>
      </c>
      <c r="U42" s="1">
        <f t="shared" si="31"/>
        <v>551</v>
      </c>
      <c r="V42" s="31">
        <f t="shared" si="32"/>
        <v>3.0490018148820326</v>
      </c>
      <c r="W42" s="31">
        <f t="shared" si="33"/>
        <v>1112.8856624319419</v>
      </c>
      <c r="X42" s="31">
        <f t="shared" si="34"/>
        <v>1.3911070780399273</v>
      </c>
      <c r="AA42" s="32">
        <f t="shared" si="35"/>
        <v>42552</v>
      </c>
      <c r="AB42" s="32">
        <f t="shared" si="36"/>
        <v>42735</v>
      </c>
      <c r="AC42" s="50">
        <v>13</v>
      </c>
      <c r="AD42" s="1">
        <f t="shared" si="37"/>
        <v>0</v>
      </c>
      <c r="AE42" s="1">
        <f t="shared" si="38"/>
        <v>0</v>
      </c>
      <c r="AF42" s="1">
        <f t="shared" si="39"/>
        <v>0</v>
      </c>
      <c r="AG42" s="1">
        <f t="shared" si="40"/>
        <v>0</v>
      </c>
      <c r="AH42" s="1">
        <f t="shared" si="41"/>
        <v>92</v>
      </c>
      <c r="AI42" s="23">
        <f t="shared" si="42"/>
        <v>0.5</v>
      </c>
      <c r="AJ42" s="23">
        <f t="shared" si="43"/>
        <v>0.69555353901996364</v>
      </c>
      <c r="AK42" s="23">
        <f t="shared" si="44"/>
        <v>4.5210980036297634</v>
      </c>
      <c r="AL42" s="23">
        <f t="shared" si="45"/>
        <v>9.0421960072595269</v>
      </c>
      <c r="AM42" s="23">
        <f t="shared" si="46"/>
        <v>0</v>
      </c>
      <c r="AN42" s="23">
        <f t="shared" si="47"/>
        <v>9.0421960072595269</v>
      </c>
      <c r="AQ42" s="32">
        <f t="shared" si="48"/>
        <v>42736</v>
      </c>
      <c r="AR42" s="32">
        <f t="shared" si="49"/>
        <v>42916</v>
      </c>
      <c r="AS42" s="50">
        <v>13</v>
      </c>
      <c r="AT42" s="1">
        <f t="shared" si="50"/>
        <v>0</v>
      </c>
      <c r="AU42" s="1">
        <f t="shared" si="51"/>
        <v>0</v>
      </c>
      <c r="AV42" s="1">
        <f t="shared" si="52"/>
        <v>0</v>
      </c>
      <c r="AW42" s="1">
        <f t="shared" si="53"/>
        <v>0</v>
      </c>
      <c r="AX42" s="1">
        <f t="shared" si="54"/>
        <v>90.5</v>
      </c>
      <c r="AY42" s="23">
        <f t="shared" si="55"/>
        <v>0.5</v>
      </c>
      <c r="AZ42" s="23">
        <f t="shared" si="56"/>
        <v>0.69555353901996364</v>
      </c>
      <c r="BA42" s="23">
        <f t="shared" si="57"/>
        <v>4.5210980036297634</v>
      </c>
      <c r="BB42" s="23">
        <f t="shared" si="58"/>
        <v>9.0421960072595269</v>
      </c>
      <c r="BC42" s="23">
        <f t="shared" si="59"/>
        <v>0</v>
      </c>
      <c r="BD42" s="23">
        <f t="shared" si="60"/>
        <v>9.0421960072595269</v>
      </c>
    </row>
    <row r="43" spans="1:56">
      <c r="A43" s="1" t="s">
        <v>20</v>
      </c>
      <c r="B43" s="1" t="s">
        <v>55</v>
      </c>
      <c r="C43" s="1" t="s">
        <v>22</v>
      </c>
      <c r="D43" s="1" t="s">
        <v>56</v>
      </c>
      <c r="E43" s="51" t="s">
        <v>154</v>
      </c>
      <c r="F43" s="51" t="s">
        <v>108</v>
      </c>
      <c r="G43" s="51" t="s">
        <v>109</v>
      </c>
      <c r="H43" s="1" t="s">
        <v>110</v>
      </c>
      <c r="I43" s="1" t="s">
        <v>111</v>
      </c>
      <c r="J43" s="51" t="s">
        <v>112</v>
      </c>
      <c r="K43" s="51" t="s">
        <v>112</v>
      </c>
      <c r="L43" s="51" t="s">
        <v>148</v>
      </c>
      <c r="M43" s="1">
        <v>1966566</v>
      </c>
      <c r="N43" s="50" t="s">
        <v>1055</v>
      </c>
      <c r="O43" s="55">
        <f t="shared" si="61"/>
        <v>41939</v>
      </c>
      <c r="P43" s="55">
        <f t="shared" si="62"/>
        <v>42489</v>
      </c>
      <c r="Q43" s="51">
        <v>1130</v>
      </c>
      <c r="S43" s="51">
        <v>2</v>
      </c>
      <c r="U43" s="1">
        <f t="shared" si="31"/>
        <v>551</v>
      </c>
      <c r="V43" s="31">
        <f t="shared" si="32"/>
        <v>2.0508166969147004</v>
      </c>
      <c r="W43" s="31">
        <f t="shared" si="33"/>
        <v>748.54809437386564</v>
      </c>
      <c r="X43" s="31">
        <f t="shared" si="34"/>
        <v>0.935685117967332</v>
      </c>
      <c r="AA43" s="32">
        <f t="shared" si="35"/>
        <v>42552</v>
      </c>
      <c r="AB43" s="32">
        <f t="shared" si="36"/>
        <v>42735</v>
      </c>
      <c r="AC43" s="50">
        <v>46</v>
      </c>
      <c r="AD43" s="1">
        <f t="shared" si="37"/>
        <v>0</v>
      </c>
      <c r="AE43" s="1">
        <f t="shared" si="38"/>
        <v>0</v>
      </c>
      <c r="AF43" s="1">
        <f t="shared" si="39"/>
        <v>0</v>
      </c>
      <c r="AG43" s="1">
        <f t="shared" si="40"/>
        <v>0</v>
      </c>
      <c r="AH43" s="1">
        <f t="shared" si="41"/>
        <v>92</v>
      </c>
      <c r="AI43" s="23">
        <f t="shared" si="42"/>
        <v>0.5</v>
      </c>
      <c r="AJ43" s="23">
        <f t="shared" si="43"/>
        <v>0.467842558983666</v>
      </c>
      <c r="AK43" s="23">
        <f t="shared" si="44"/>
        <v>10.760378856624317</v>
      </c>
      <c r="AL43" s="23">
        <f t="shared" si="45"/>
        <v>21.520757713248635</v>
      </c>
      <c r="AM43" s="23">
        <f t="shared" si="46"/>
        <v>0</v>
      </c>
      <c r="AN43" s="23">
        <f t="shared" si="47"/>
        <v>21.520757713248635</v>
      </c>
      <c r="AQ43" s="32">
        <f t="shared" si="48"/>
        <v>42736</v>
      </c>
      <c r="AR43" s="32">
        <f t="shared" si="49"/>
        <v>42916</v>
      </c>
      <c r="AS43" s="50">
        <v>46</v>
      </c>
      <c r="AT43" s="1">
        <f t="shared" si="50"/>
        <v>0</v>
      </c>
      <c r="AU43" s="1">
        <f t="shared" si="51"/>
        <v>0</v>
      </c>
      <c r="AV43" s="1">
        <f t="shared" si="52"/>
        <v>0</v>
      </c>
      <c r="AW43" s="1">
        <f t="shared" si="53"/>
        <v>0</v>
      </c>
      <c r="AX43" s="1">
        <f t="shared" si="54"/>
        <v>90.5</v>
      </c>
      <c r="AY43" s="23">
        <f t="shared" si="55"/>
        <v>0.5</v>
      </c>
      <c r="AZ43" s="23">
        <f t="shared" si="56"/>
        <v>0.467842558983666</v>
      </c>
      <c r="BA43" s="23">
        <f t="shared" si="57"/>
        <v>10.760378856624317</v>
      </c>
      <c r="BB43" s="23">
        <f t="shared" si="58"/>
        <v>21.520757713248635</v>
      </c>
      <c r="BC43" s="23">
        <f t="shared" si="59"/>
        <v>0</v>
      </c>
      <c r="BD43" s="23">
        <f t="shared" si="60"/>
        <v>21.520757713248635</v>
      </c>
    </row>
    <row r="44" spans="1:56">
      <c r="A44" s="1" t="s">
        <v>20</v>
      </c>
      <c r="B44" s="1" t="s">
        <v>55</v>
      </c>
      <c r="C44" s="1" t="s">
        <v>22</v>
      </c>
      <c r="D44" s="1" t="s">
        <v>56</v>
      </c>
      <c r="E44" s="51" t="s">
        <v>154</v>
      </c>
      <c r="F44" s="51" t="s">
        <v>108</v>
      </c>
      <c r="G44" s="51" t="s">
        <v>109</v>
      </c>
      <c r="H44" s="1" t="s">
        <v>224</v>
      </c>
      <c r="I44" s="1" t="s">
        <v>167</v>
      </c>
      <c r="J44" s="51" t="s">
        <v>112</v>
      </c>
      <c r="K44" s="51" t="s">
        <v>112</v>
      </c>
      <c r="L44" s="51" t="s">
        <v>148</v>
      </c>
      <c r="M44" s="1">
        <v>1966567</v>
      </c>
      <c r="N44" s="50" t="s">
        <v>1056</v>
      </c>
      <c r="O44" s="55">
        <f t="shared" si="61"/>
        <v>41939</v>
      </c>
      <c r="P44" s="55">
        <f t="shared" si="62"/>
        <v>42489</v>
      </c>
      <c r="Q44" s="51">
        <v>1680</v>
      </c>
      <c r="S44" s="51">
        <v>1</v>
      </c>
      <c r="U44" s="1">
        <f t="shared" si="31"/>
        <v>551</v>
      </c>
      <c r="V44" s="31">
        <f t="shared" si="32"/>
        <v>3.0490018148820326</v>
      </c>
      <c r="W44" s="31">
        <f t="shared" si="33"/>
        <v>1112.8856624319419</v>
      </c>
      <c r="X44" s="31">
        <f t="shared" si="34"/>
        <v>1.3911070780399273</v>
      </c>
      <c r="AA44" s="32">
        <f t="shared" si="35"/>
        <v>42552</v>
      </c>
      <c r="AB44" s="32">
        <f t="shared" si="36"/>
        <v>42735</v>
      </c>
      <c r="AC44" s="50">
        <v>47</v>
      </c>
      <c r="AD44" s="1">
        <f t="shared" si="37"/>
        <v>0</v>
      </c>
      <c r="AE44" s="1">
        <f t="shared" si="38"/>
        <v>0</v>
      </c>
      <c r="AF44" s="1">
        <f t="shared" si="39"/>
        <v>0</v>
      </c>
      <c r="AG44" s="1">
        <f t="shared" si="40"/>
        <v>0</v>
      </c>
      <c r="AH44" s="1">
        <f t="shared" si="41"/>
        <v>92</v>
      </c>
      <c r="AI44" s="23">
        <f t="shared" si="42"/>
        <v>0.5</v>
      </c>
      <c r="AJ44" s="23">
        <f t="shared" si="43"/>
        <v>0.69555353901996364</v>
      </c>
      <c r="AK44" s="23">
        <f t="shared" si="44"/>
        <v>16.345508166969147</v>
      </c>
      <c r="AL44" s="23">
        <f t="shared" si="45"/>
        <v>16.345508166969147</v>
      </c>
      <c r="AM44" s="23">
        <f t="shared" si="46"/>
        <v>0</v>
      </c>
      <c r="AN44" s="23">
        <f t="shared" si="47"/>
        <v>16.345508166969147</v>
      </c>
      <c r="AQ44" s="32">
        <f t="shared" si="48"/>
        <v>42736</v>
      </c>
      <c r="AR44" s="32">
        <f t="shared" si="49"/>
        <v>42916</v>
      </c>
      <c r="AS44" s="50">
        <v>47</v>
      </c>
      <c r="AT44" s="1">
        <f t="shared" si="50"/>
        <v>0</v>
      </c>
      <c r="AU44" s="1">
        <f t="shared" si="51"/>
        <v>0</v>
      </c>
      <c r="AV44" s="1">
        <f t="shared" si="52"/>
        <v>0</v>
      </c>
      <c r="AW44" s="1">
        <f t="shared" si="53"/>
        <v>0</v>
      </c>
      <c r="AX44" s="1">
        <f t="shared" si="54"/>
        <v>90.5</v>
      </c>
      <c r="AY44" s="23">
        <f t="shared" si="55"/>
        <v>0.5</v>
      </c>
      <c r="AZ44" s="23">
        <f t="shared" si="56"/>
        <v>0.69555353901996364</v>
      </c>
      <c r="BA44" s="23">
        <f t="shared" si="57"/>
        <v>16.345508166969147</v>
      </c>
      <c r="BB44" s="23">
        <f t="shared" si="58"/>
        <v>16.345508166969147</v>
      </c>
      <c r="BC44" s="23">
        <f t="shared" si="59"/>
        <v>0</v>
      </c>
      <c r="BD44" s="23">
        <f t="shared" si="60"/>
        <v>16.345508166969147</v>
      </c>
    </row>
    <row r="45" spans="1:56">
      <c r="A45" s="1" t="s">
        <v>20</v>
      </c>
      <c r="B45" s="1" t="s">
        <v>55</v>
      </c>
      <c r="C45" s="1" t="s">
        <v>22</v>
      </c>
      <c r="D45" s="1" t="s">
        <v>56</v>
      </c>
      <c r="E45" s="51" t="s">
        <v>154</v>
      </c>
      <c r="F45" s="51" t="s">
        <v>108</v>
      </c>
      <c r="G45" s="51" t="s">
        <v>109</v>
      </c>
      <c r="H45" s="1" t="s">
        <v>224</v>
      </c>
      <c r="I45" s="1" t="s">
        <v>167</v>
      </c>
      <c r="J45" s="51" t="s">
        <v>112</v>
      </c>
      <c r="K45" s="51" t="s">
        <v>112</v>
      </c>
      <c r="L45" s="51" t="s">
        <v>148</v>
      </c>
      <c r="M45" s="1">
        <v>1966568</v>
      </c>
      <c r="N45" s="50" t="s">
        <v>1057</v>
      </c>
      <c r="O45" s="55">
        <f t="shared" si="61"/>
        <v>41939</v>
      </c>
      <c r="P45" s="55">
        <f t="shared" si="62"/>
        <v>42489</v>
      </c>
      <c r="Q45" s="51">
        <v>1680</v>
      </c>
      <c r="S45" s="51">
        <v>1</v>
      </c>
      <c r="U45" s="1">
        <f t="shared" si="31"/>
        <v>551</v>
      </c>
      <c r="V45" s="31">
        <f t="shared" si="32"/>
        <v>3.0490018148820326</v>
      </c>
      <c r="W45" s="31">
        <f t="shared" si="33"/>
        <v>1112.8856624319419</v>
      </c>
      <c r="X45" s="31">
        <f t="shared" si="34"/>
        <v>1.3911070780399273</v>
      </c>
      <c r="AA45" s="32">
        <f t="shared" si="35"/>
        <v>42552</v>
      </c>
      <c r="AB45" s="32">
        <f t="shared" si="36"/>
        <v>42735</v>
      </c>
      <c r="AC45" s="50">
        <v>43</v>
      </c>
      <c r="AD45" s="1">
        <f t="shared" si="37"/>
        <v>0</v>
      </c>
      <c r="AE45" s="1">
        <f t="shared" si="38"/>
        <v>0</v>
      </c>
      <c r="AF45" s="1">
        <f t="shared" si="39"/>
        <v>0</v>
      </c>
      <c r="AG45" s="1">
        <f t="shared" si="40"/>
        <v>0</v>
      </c>
      <c r="AH45" s="1">
        <f t="shared" si="41"/>
        <v>92</v>
      </c>
      <c r="AI45" s="23">
        <f t="shared" si="42"/>
        <v>0.5</v>
      </c>
      <c r="AJ45" s="23">
        <f t="shared" si="43"/>
        <v>0.69555353901996364</v>
      </c>
      <c r="AK45" s="23">
        <f t="shared" si="44"/>
        <v>14.954401088929218</v>
      </c>
      <c r="AL45" s="23">
        <f t="shared" si="45"/>
        <v>14.954401088929218</v>
      </c>
      <c r="AM45" s="23">
        <f t="shared" si="46"/>
        <v>0</v>
      </c>
      <c r="AN45" s="23">
        <f t="shared" si="47"/>
        <v>14.954401088929218</v>
      </c>
      <c r="AQ45" s="32">
        <f t="shared" si="48"/>
        <v>42736</v>
      </c>
      <c r="AR45" s="32">
        <f t="shared" si="49"/>
        <v>42916</v>
      </c>
      <c r="AS45" s="50">
        <v>43</v>
      </c>
      <c r="AT45" s="1">
        <f t="shared" si="50"/>
        <v>0</v>
      </c>
      <c r="AU45" s="1">
        <f t="shared" si="51"/>
        <v>0</v>
      </c>
      <c r="AV45" s="1">
        <f t="shared" si="52"/>
        <v>0</v>
      </c>
      <c r="AW45" s="1">
        <f t="shared" si="53"/>
        <v>0</v>
      </c>
      <c r="AX45" s="1">
        <f t="shared" si="54"/>
        <v>90.5</v>
      </c>
      <c r="AY45" s="23">
        <f t="shared" si="55"/>
        <v>0.5</v>
      </c>
      <c r="AZ45" s="23">
        <f t="shared" si="56"/>
        <v>0.69555353901996364</v>
      </c>
      <c r="BA45" s="23">
        <f t="shared" si="57"/>
        <v>14.954401088929218</v>
      </c>
      <c r="BB45" s="23">
        <f t="shared" si="58"/>
        <v>14.954401088929218</v>
      </c>
      <c r="BC45" s="23">
        <f t="shared" si="59"/>
        <v>0</v>
      </c>
      <c r="BD45" s="23">
        <f t="shared" si="60"/>
        <v>14.954401088929218</v>
      </c>
    </row>
    <row r="46" spans="1:56">
      <c r="A46" s="1" t="s">
        <v>20</v>
      </c>
      <c r="B46" s="1" t="s">
        <v>55</v>
      </c>
      <c r="C46" s="1" t="s">
        <v>22</v>
      </c>
      <c r="D46" s="1" t="s">
        <v>56</v>
      </c>
      <c r="E46" s="51" t="s">
        <v>154</v>
      </c>
      <c r="F46" s="51" t="s">
        <v>108</v>
      </c>
      <c r="G46" s="51" t="s">
        <v>109</v>
      </c>
      <c r="H46" s="1" t="s">
        <v>169</v>
      </c>
      <c r="I46" s="1" t="s">
        <v>116</v>
      </c>
      <c r="J46" s="51" t="s">
        <v>112</v>
      </c>
      <c r="K46" s="51" t="s">
        <v>112</v>
      </c>
      <c r="L46" s="51" t="s">
        <v>148</v>
      </c>
      <c r="M46" s="1">
        <v>1966569</v>
      </c>
      <c r="N46" s="50" t="s">
        <v>1058</v>
      </c>
      <c r="O46" s="55">
        <f t="shared" si="61"/>
        <v>41939</v>
      </c>
      <c r="P46" s="55">
        <f t="shared" si="62"/>
        <v>42489</v>
      </c>
      <c r="Q46" s="51">
        <v>1680</v>
      </c>
      <c r="S46" s="51">
        <v>2</v>
      </c>
      <c r="U46" s="1">
        <f t="shared" si="31"/>
        <v>551</v>
      </c>
      <c r="V46" s="31">
        <f t="shared" si="32"/>
        <v>3.0490018148820326</v>
      </c>
      <c r="W46" s="31">
        <f t="shared" si="33"/>
        <v>1112.8856624319419</v>
      </c>
      <c r="X46" s="31">
        <f t="shared" si="34"/>
        <v>1.3911070780399273</v>
      </c>
      <c r="AA46" s="32">
        <f t="shared" si="35"/>
        <v>42552</v>
      </c>
      <c r="AB46" s="32">
        <f t="shared" si="36"/>
        <v>42735</v>
      </c>
      <c r="AC46" s="50">
        <v>43</v>
      </c>
      <c r="AD46" s="1">
        <f t="shared" si="37"/>
        <v>0</v>
      </c>
      <c r="AE46" s="1">
        <f t="shared" si="38"/>
        <v>0</v>
      </c>
      <c r="AF46" s="1">
        <f t="shared" si="39"/>
        <v>0</v>
      </c>
      <c r="AG46" s="1">
        <f t="shared" si="40"/>
        <v>0</v>
      </c>
      <c r="AH46" s="1">
        <f t="shared" si="41"/>
        <v>92</v>
      </c>
      <c r="AI46" s="23">
        <f t="shared" si="42"/>
        <v>0.5</v>
      </c>
      <c r="AJ46" s="23">
        <f t="shared" si="43"/>
        <v>0.69555353901996364</v>
      </c>
      <c r="AK46" s="23">
        <f t="shared" si="44"/>
        <v>14.954401088929218</v>
      </c>
      <c r="AL46" s="23">
        <f t="shared" si="45"/>
        <v>29.908802177858437</v>
      </c>
      <c r="AM46" s="23">
        <f t="shared" si="46"/>
        <v>0</v>
      </c>
      <c r="AN46" s="23">
        <f t="shared" si="47"/>
        <v>29.908802177858437</v>
      </c>
      <c r="AQ46" s="32">
        <f t="shared" si="48"/>
        <v>42736</v>
      </c>
      <c r="AR46" s="32">
        <f t="shared" si="49"/>
        <v>42916</v>
      </c>
      <c r="AS46" s="50">
        <v>43</v>
      </c>
      <c r="AT46" s="1">
        <f t="shared" si="50"/>
        <v>0</v>
      </c>
      <c r="AU46" s="1">
        <f t="shared" si="51"/>
        <v>0</v>
      </c>
      <c r="AV46" s="1">
        <f t="shared" si="52"/>
        <v>0</v>
      </c>
      <c r="AW46" s="1">
        <f t="shared" si="53"/>
        <v>0</v>
      </c>
      <c r="AX46" s="1">
        <f t="shared" si="54"/>
        <v>90.5</v>
      </c>
      <c r="AY46" s="23">
        <f t="shared" si="55"/>
        <v>0.5</v>
      </c>
      <c r="AZ46" s="23">
        <f t="shared" si="56"/>
        <v>0.69555353901996364</v>
      </c>
      <c r="BA46" s="23">
        <f t="shared" si="57"/>
        <v>14.954401088929218</v>
      </c>
      <c r="BB46" s="23">
        <f t="shared" si="58"/>
        <v>29.908802177858437</v>
      </c>
      <c r="BC46" s="23">
        <f t="shared" si="59"/>
        <v>0</v>
      </c>
      <c r="BD46" s="23">
        <f t="shared" si="60"/>
        <v>29.908802177858437</v>
      </c>
    </row>
    <row r="47" spans="1:56">
      <c r="A47" s="1" t="s">
        <v>20</v>
      </c>
      <c r="B47" s="1" t="s">
        <v>55</v>
      </c>
      <c r="C47" s="1" t="s">
        <v>22</v>
      </c>
      <c r="D47" s="1" t="s">
        <v>56</v>
      </c>
      <c r="E47" s="51" t="s">
        <v>107</v>
      </c>
      <c r="F47" s="51" t="s">
        <v>108</v>
      </c>
      <c r="G47" s="51" t="s">
        <v>109</v>
      </c>
      <c r="H47" s="1" t="s">
        <v>146</v>
      </c>
      <c r="I47" s="1" t="s">
        <v>147</v>
      </c>
      <c r="J47" s="51" t="s">
        <v>148</v>
      </c>
      <c r="K47" s="51" t="s">
        <v>148</v>
      </c>
      <c r="L47" s="51" t="s">
        <v>112</v>
      </c>
      <c r="M47" s="1">
        <v>1972488</v>
      </c>
      <c r="N47" s="51" t="s">
        <v>1059</v>
      </c>
      <c r="O47" s="55">
        <f>DATE(2014,4,28)</f>
        <v>41757</v>
      </c>
      <c r="P47" s="55">
        <f>DATE(2017,8,30)</f>
        <v>42977</v>
      </c>
      <c r="Q47" s="51">
        <v>2555</v>
      </c>
      <c r="S47" s="51">
        <v>2.5</v>
      </c>
      <c r="U47" s="1">
        <f t="shared" si="31"/>
        <v>1221</v>
      </c>
      <c r="V47" s="31">
        <f t="shared" si="32"/>
        <v>2.0925470925470924</v>
      </c>
      <c r="W47" s="31">
        <f t="shared" si="33"/>
        <v>763.77968877968874</v>
      </c>
      <c r="X47" s="31">
        <f t="shared" si="34"/>
        <v>0.95472461097461092</v>
      </c>
      <c r="AA47" s="32">
        <f t="shared" si="35"/>
        <v>42552</v>
      </c>
      <c r="AB47" s="32">
        <f t="shared" si="36"/>
        <v>42735</v>
      </c>
      <c r="AC47" s="51">
        <v>16</v>
      </c>
      <c r="AD47" s="1">
        <f t="shared" si="37"/>
        <v>184</v>
      </c>
      <c r="AE47" s="1">
        <f t="shared" si="38"/>
        <v>0</v>
      </c>
      <c r="AF47" s="1">
        <f t="shared" si="39"/>
        <v>0</v>
      </c>
      <c r="AG47" s="1">
        <f t="shared" si="40"/>
        <v>0</v>
      </c>
      <c r="AH47" s="1">
        <f t="shared" si="41"/>
        <v>0</v>
      </c>
      <c r="AI47" s="23">
        <f t="shared" si="42"/>
        <v>1</v>
      </c>
      <c r="AJ47" s="23">
        <f t="shared" si="43"/>
        <v>0.95472461097461092</v>
      </c>
      <c r="AK47" s="23">
        <f t="shared" si="44"/>
        <v>15.275593775593775</v>
      </c>
      <c r="AL47" s="23">
        <f t="shared" si="45"/>
        <v>38.188984438984434</v>
      </c>
      <c r="AM47" s="23">
        <f t="shared" si="46"/>
        <v>19.094492219492217</v>
      </c>
      <c r="AN47" s="23">
        <f t="shared" si="47"/>
        <v>57.283476658476651</v>
      </c>
      <c r="AQ47" s="32">
        <f t="shared" si="48"/>
        <v>42736</v>
      </c>
      <c r="AR47" s="32">
        <f t="shared" si="49"/>
        <v>42916</v>
      </c>
      <c r="AS47" s="51">
        <v>16</v>
      </c>
      <c r="AT47" s="1">
        <f t="shared" si="50"/>
        <v>181</v>
      </c>
      <c r="AU47" s="1">
        <f t="shared" si="51"/>
        <v>0</v>
      </c>
      <c r="AV47" s="1">
        <f t="shared" si="52"/>
        <v>0</v>
      </c>
      <c r="AW47" s="1">
        <f t="shared" si="53"/>
        <v>0</v>
      </c>
      <c r="AX47" s="1">
        <f t="shared" si="54"/>
        <v>0</v>
      </c>
      <c r="AY47" s="23">
        <f t="shared" si="55"/>
        <v>1</v>
      </c>
      <c r="AZ47" s="23">
        <f t="shared" si="56"/>
        <v>0.95472461097461092</v>
      </c>
      <c r="BA47" s="23">
        <f t="shared" si="57"/>
        <v>15.275593775593775</v>
      </c>
      <c r="BB47" s="23">
        <f t="shared" si="58"/>
        <v>38.188984438984434</v>
      </c>
      <c r="BC47" s="23">
        <f t="shared" si="59"/>
        <v>19.094492219492217</v>
      </c>
      <c r="BD47" s="23">
        <f t="shared" si="60"/>
        <v>57.283476658476651</v>
      </c>
    </row>
    <row r="48" spans="1:56">
      <c r="A48" s="1" t="s">
        <v>20</v>
      </c>
      <c r="B48" s="1" t="s">
        <v>55</v>
      </c>
      <c r="C48" s="1" t="s">
        <v>22</v>
      </c>
      <c r="D48" s="1" t="s">
        <v>56</v>
      </c>
      <c r="E48" s="51" t="s">
        <v>107</v>
      </c>
      <c r="F48" s="51" t="s">
        <v>108</v>
      </c>
      <c r="G48" s="51" t="s">
        <v>109</v>
      </c>
      <c r="H48" s="1" t="s">
        <v>124</v>
      </c>
      <c r="I48" s="1" t="s">
        <v>125</v>
      </c>
      <c r="J48" s="51" t="s">
        <v>112</v>
      </c>
      <c r="K48" s="51" t="s">
        <v>112</v>
      </c>
      <c r="L48" s="51" t="s">
        <v>112</v>
      </c>
      <c r="M48" s="1">
        <v>1983329</v>
      </c>
      <c r="N48" s="52" t="s">
        <v>1060</v>
      </c>
      <c r="O48" s="55">
        <f t="shared" ref="O48:O55" si="63">DATE(2015,3,25)</f>
        <v>42088</v>
      </c>
      <c r="P48" s="55">
        <f>DATE(2018,9,28)</f>
        <v>43371</v>
      </c>
      <c r="Q48" s="51">
        <v>4017</v>
      </c>
      <c r="S48" s="51">
        <v>2.5</v>
      </c>
      <c r="U48" s="1">
        <f t="shared" si="31"/>
        <v>1284</v>
      </c>
      <c r="V48" s="31">
        <f t="shared" si="32"/>
        <v>3.1285046728971961</v>
      </c>
      <c r="W48" s="31">
        <f t="shared" si="33"/>
        <v>1141.9042056074766</v>
      </c>
      <c r="X48" s="31">
        <f t="shared" si="34"/>
        <v>1.4273802570093457</v>
      </c>
      <c r="AA48" s="32">
        <f t="shared" si="35"/>
        <v>42552</v>
      </c>
      <c r="AB48" s="32">
        <f t="shared" si="36"/>
        <v>42735</v>
      </c>
      <c r="AC48" s="52">
        <v>28</v>
      </c>
      <c r="AD48" s="1">
        <f t="shared" si="37"/>
        <v>184</v>
      </c>
      <c r="AE48" s="1">
        <f t="shared" si="38"/>
        <v>0</v>
      </c>
      <c r="AF48" s="1">
        <f t="shared" si="39"/>
        <v>0</v>
      </c>
      <c r="AG48" s="1">
        <f t="shared" si="40"/>
        <v>0</v>
      </c>
      <c r="AH48" s="1">
        <f t="shared" si="41"/>
        <v>0</v>
      </c>
      <c r="AI48" s="23">
        <f t="shared" si="42"/>
        <v>1</v>
      </c>
      <c r="AJ48" s="23">
        <f t="shared" si="43"/>
        <v>1.4273802570093457</v>
      </c>
      <c r="AK48" s="23">
        <f t="shared" si="44"/>
        <v>39.966647196261675</v>
      </c>
      <c r="AL48" s="23">
        <f t="shared" si="45"/>
        <v>99.916617990654188</v>
      </c>
      <c r="AM48" s="23">
        <f t="shared" si="46"/>
        <v>0</v>
      </c>
      <c r="AN48" s="23">
        <f t="shared" si="47"/>
        <v>99.916617990654188</v>
      </c>
      <c r="AQ48" s="32">
        <f t="shared" si="48"/>
        <v>42736</v>
      </c>
      <c r="AR48" s="32">
        <f t="shared" si="49"/>
        <v>42916</v>
      </c>
      <c r="AS48" s="52">
        <v>26</v>
      </c>
      <c r="AT48" s="1">
        <f t="shared" si="50"/>
        <v>181</v>
      </c>
      <c r="AU48" s="1">
        <f t="shared" si="51"/>
        <v>0</v>
      </c>
      <c r="AV48" s="1">
        <f t="shared" si="52"/>
        <v>0</v>
      </c>
      <c r="AW48" s="1">
        <f t="shared" si="53"/>
        <v>0</v>
      </c>
      <c r="AX48" s="1">
        <f t="shared" si="54"/>
        <v>0</v>
      </c>
      <c r="AY48" s="23">
        <f t="shared" si="55"/>
        <v>1</v>
      </c>
      <c r="AZ48" s="23">
        <f t="shared" si="56"/>
        <v>1.4273802570093457</v>
      </c>
      <c r="BA48" s="23">
        <f t="shared" si="57"/>
        <v>37.111886682242989</v>
      </c>
      <c r="BB48" s="23">
        <f t="shared" si="58"/>
        <v>92.77971670560747</v>
      </c>
      <c r="BC48" s="23">
        <f t="shared" si="59"/>
        <v>0</v>
      </c>
      <c r="BD48" s="23">
        <f t="shared" si="60"/>
        <v>92.77971670560747</v>
      </c>
    </row>
    <row r="49" spans="1:56">
      <c r="A49" s="1" t="s">
        <v>20</v>
      </c>
      <c r="B49" s="1" t="s">
        <v>55</v>
      </c>
      <c r="C49" s="1" t="s">
        <v>22</v>
      </c>
      <c r="D49" s="1" t="s">
        <v>56</v>
      </c>
      <c r="E49" s="51" t="s">
        <v>107</v>
      </c>
      <c r="F49" s="51" t="s">
        <v>108</v>
      </c>
      <c r="G49" s="51" t="s">
        <v>109</v>
      </c>
      <c r="H49" s="1" t="s">
        <v>179</v>
      </c>
      <c r="I49" s="1" t="s">
        <v>125</v>
      </c>
      <c r="J49" s="51" t="s">
        <v>112</v>
      </c>
      <c r="K49" s="51" t="s">
        <v>112</v>
      </c>
      <c r="L49" s="51" t="s">
        <v>112</v>
      </c>
      <c r="M49" s="1">
        <v>1983330</v>
      </c>
      <c r="N49" s="52" t="s">
        <v>1061</v>
      </c>
      <c r="O49" s="55">
        <f t="shared" si="63"/>
        <v>42088</v>
      </c>
      <c r="P49" s="55">
        <f>DATE(2019,2,28)</f>
        <v>43524</v>
      </c>
      <c r="Q49" s="51">
        <v>3751</v>
      </c>
      <c r="S49" s="51">
        <v>2</v>
      </c>
      <c r="U49" s="1">
        <f t="shared" si="31"/>
        <v>1437</v>
      </c>
      <c r="V49" s="31">
        <f t="shared" si="32"/>
        <v>2.6102992345163534</v>
      </c>
      <c r="W49" s="31">
        <f t="shared" si="33"/>
        <v>952.75922059846903</v>
      </c>
      <c r="X49" s="31">
        <f t="shared" si="34"/>
        <v>1.1909490257480864</v>
      </c>
      <c r="AA49" s="32">
        <f t="shared" si="35"/>
        <v>42552</v>
      </c>
      <c r="AB49" s="32">
        <f t="shared" si="36"/>
        <v>42735</v>
      </c>
      <c r="AC49" s="52">
        <v>31</v>
      </c>
      <c r="AD49" s="1">
        <f t="shared" si="37"/>
        <v>184</v>
      </c>
      <c r="AE49" s="1">
        <f t="shared" si="38"/>
        <v>0</v>
      </c>
      <c r="AF49" s="1">
        <f t="shared" si="39"/>
        <v>0</v>
      </c>
      <c r="AG49" s="1">
        <f t="shared" si="40"/>
        <v>0</v>
      </c>
      <c r="AH49" s="1">
        <f t="shared" si="41"/>
        <v>0</v>
      </c>
      <c r="AI49" s="23">
        <f t="shared" si="42"/>
        <v>1</v>
      </c>
      <c r="AJ49" s="23">
        <f t="shared" si="43"/>
        <v>1.1909490257480864</v>
      </c>
      <c r="AK49" s="23">
        <f t="shared" si="44"/>
        <v>36.919419798190674</v>
      </c>
      <c r="AL49" s="23">
        <f t="shared" si="45"/>
        <v>73.838839596381348</v>
      </c>
      <c r="AM49" s="23">
        <f t="shared" si="46"/>
        <v>0</v>
      </c>
      <c r="AN49" s="23">
        <f t="shared" si="47"/>
        <v>73.838839596381348</v>
      </c>
      <c r="AQ49" s="32">
        <f t="shared" si="48"/>
        <v>42736</v>
      </c>
      <c r="AR49" s="32">
        <f t="shared" si="49"/>
        <v>42916</v>
      </c>
      <c r="AS49" s="52">
        <v>30</v>
      </c>
      <c r="AT49" s="1">
        <f t="shared" si="50"/>
        <v>181</v>
      </c>
      <c r="AU49" s="1">
        <f t="shared" si="51"/>
        <v>0</v>
      </c>
      <c r="AV49" s="1">
        <f t="shared" si="52"/>
        <v>0</v>
      </c>
      <c r="AW49" s="1">
        <f t="shared" si="53"/>
        <v>0</v>
      </c>
      <c r="AX49" s="1">
        <f t="shared" si="54"/>
        <v>0</v>
      </c>
      <c r="AY49" s="23">
        <f t="shared" si="55"/>
        <v>1</v>
      </c>
      <c r="AZ49" s="23">
        <f t="shared" si="56"/>
        <v>1.1909490257480864</v>
      </c>
      <c r="BA49" s="23">
        <f t="shared" si="57"/>
        <v>35.728470772442591</v>
      </c>
      <c r="BB49" s="23">
        <f t="shared" si="58"/>
        <v>71.456941544885183</v>
      </c>
      <c r="BC49" s="23">
        <f t="shared" si="59"/>
        <v>0</v>
      </c>
      <c r="BD49" s="23">
        <f t="shared" si="60"/>
        <v>71.456941544885183</v>
      </c>
    </row>
    <row r="50" spans="1:56">
      <c r="A50" s="1" t="s">
        <v>20</v>
      </c>
      <c r="B50" s="1" t="s">
        <v>55</v>
      </c>
      <c r="C50" s="1" t="s">
        <v>22</v>
      </c>
      <c r="D50" s="1" t="s">
        <v>56</v>
      </c>
      <c r="E50" s="51" t="s">
        <v>107</v>
      </c>
      <c r="F50" s="51" t="s">
        <v>108</v>
      </c>
      <c r="G50" s="51" t="s">
        <v>109</v>
      </c>
      <c r="H50" s="1" t="s">
        <v>275</v>
      </c>
      <c r="I50" s="1" t="s">
        <v>128</v>
      </c>
      <c r="J50" s="51" t="s">
        <v>112</v>
      </c>
      <c r="K50" s="51" t="s">
        <v>112</v>
      </c>
      <c r="L50" s="51" t="s">
        <v>112</v>
      </c>
      <c r="M50" s="1">
        <v>1983333</v>
      </c>
      <c r="N50" s="52" t="s">
        <v>1062</v>
      </c>
      <c r="O50" s="55">
        <f t="shared" si="63"/>
        <v>42088</v>
      </c>
      <c r="P50" s="55">
        <f>DATE(2019,2,28)</f>
        <v>43524</v>
      </c>
      <c r="Q50" s="51">
        <v>4250</v>
      </c>
      <c r="S50" s="51">
        <v>2.5</v>
      </c>
      <c r="U50" s="1">
        <f t="shared" si="31"/>
        <v>1437</v>
      </c>
      <c r="V50" s="31">
        <f t="shared" si="32"/>
        <v>2.9575504523312457</v>
      </c>
      <c r="W50" s="31">
        <f t="shared" si="33"/>
        <v>1079.5059151009048</v>
      </c>
      <c r="X50" s="31">
        <f t="shared" si="34"/>
        <v>1.3493823938761309</v>
      </c>
      <c r="AA50" s="32">
        <f t="shared" si="35"/>
        <v>42552</v>
      </c>
      <c r="AB50" s="32">
        <f t="shared" si="36"/>
        <v>42735</v>
      </c>
      <c r="AC50" s="52">
        <v>33</v>
      </c>
      <c r="AD50" s="1">
        <f t="shared" si="37"/>
        <v>184</v>
      </c>
      <c r="AE50" s="1">
        <f t="shared" si="38"/>
        <v>0</v>
      </c>
      <c r="AF50" s="1">
        <f t="shared" si="39"/>
        <v>0</v>
      </c>
      <c r="AG50" s="1">
        <f t="shared" si="40"/>
        <v>0</v>
      </c>
      <c r="AH50" s="1">
        <f t="shared" si="41"/>
        <v>0</v>
      </c>
      <c r="AI50" s="23">
        <f t="shared" si="42"/>
        <v>1</v>
      </c>
      <c r="AJ50" s="23">
        <f t="shared" si="43"/>
        <v>1.3493823938761309</v>
      </c>
      <c r="AK50" s="23">
        <f t="shared" si="44"/>
        <v>44.529618997912323</v>
      </c>
      <c r="AL50" s="23">
        <f t="shared" si="45"/>
        <v>111.32404749478081</v>
      </c>
      <c r="AM50" s="23">
        <f t="shared" si="46"/>
        <v>0</v>
      </c>
      <c r="AN50" s="23">
        <f t="shared" si="47"/>
        <v>111.32404749478081</v>
      </c>
      <c r="AQ50" s="32">
        <f t="shared" si="48"/>
        <v>42736</v>
      </c>
      <c r="AR50" s="32">
        <f t="shared" si="49"/>
        <v>42916</v>
      </c>
      <c r="AS50" s="52">
        <v>33</v>
      </c>
      <c r="AT50" s="1">
        <f t="shared" si="50"/>
        <v>181</v>
      </c>
      <c r="AU50" s="1">
        <f t="shared" si="51"/>
        <v>0</v>
      </c>
      <c r="AV50" s="1">
        <f t="shared" si="52"/>
        <v>0</v>
      </c>
      <c r="AW50" s="1">
        <f t="shared" si="53"/>
        <v>0</v>
      </c>
      <c r="AX50" s="1">
        <f t="shared" si="54"/>
        <v>0</v>
      </c>
      <c r="AY50" s="23">
        <f t="shared" si="55"/>
        <v>1</v>
      </c>
      <c r="AZ50" s="23">
        <f t="shared" si="56"/>
        <v>1.3493823938761309</v>
      </c>
      <c r="BA50" s="23">
        <f t="shared" si="57"/>
        <v>44.529618997912323</v>
      </c>
      <c r="BB50" s="23">
        <f t="shared" si="58"/>
        <v>111.32404749478081</v>
      </c>
      <c r="BC50" s="23">
        <f t="shared" si="59"/>
        <v>0</v>
      </c>
      <c r="BD50" s="23">
        <f t="shared" si="60"/>
        <v>111.32404749478081</v>
      </c>
    </row>
    <row r="51" spans="1:56">
      <c r="A51" s="1" t="s">
        <v>20</v>
      </c>
      <c r="B51" s="1" t="s">
        <v>55</v>
      </c>
      <c r="C51" s="1" t="s">
        <v>22</v>
      </c>
      <c r="D51" s="1" t="s">
        <v>56</v>
      </c>
      <c r="E51" s="51" t="s">
        <v>107</v>
      </c>
      <c r="F51" s="51" t="s">
        <v>108</v>
      </c>
      <c r="G51" s="51" t="s">
        <v>109</v>
      </c>
      <c r="H51" s="1" t="s">
        <v>937</v>
      </c>
      <c r="I51" s="1" t="s">
        <v>111</v>
      </c>
      <c r="J51" s="51" t="s">
        <v>112</v>
      </c>
      <c r="K51" s="51" t="s">
        <v>112</v>
      </c>
      <c r="L51" s="51" t="s">
        <v>112</v>
      </c>
      <c r="M51" s="1">
        <v>1983334</v>
      </c>
      <c r="N51" s="52" t="s">
        <v>1063</v>
      </c>
      <c r="O51" s="55">
        <f t="shared" si="63"/>
        <v>42088</v>
      </c>
      <c r="P51" s="55">
        <f>DATE(2018,9,28)</f>
        <v>43371</v>
      </c>
      <c r="Q51" s="51">
        <v>3850</v>
      </c>
      <c r="S51" s="51">
        <v>1.5</v>
      </c>
      <c r="U51" s="1">
        <f t="shared" si="31"/>
        <v>1284</v>
      </c>
      <c r="V51" s="31">
        <f t="shared" si="32"/>
        <v>2.9984423676012462</v>
      </c>
      <c r="W51" s="31">
        <f t="shared" si="33"/>
        <v>1094.431464174455</v>
      </c>
      <c r="X51" s="31">
        <f t="shared" si="34"/>
        <v>1.3680393302180687</v>
      </c>
      <c r="AA51" s="32">
        <f t="shared" si="35"/>
        <v>42552</v>
      </c>
      <c r="AB51" s="32">
        <f t="shared" si="36"/>
        <v>42735</v>
      </c>
      <c r="AC51" s="52">
        <v>29</v>
      </c>
      <c r="AD51" s="1">
        <f t="shared" si="37"/>
        <v>184</v>
      </c>
      <c r="AE51" s="1">
        <f t="shared" si="38"/>
        <v>0</v>
      </c>
      <c r="AF51" s="1">
        <f t="shared" si="39"/>
        <v>0</v>
      </c>
      <c r="AG51" s="1">
        <f t="shared" si="40"/>
        <v>0</v>
      </c>
      <c r="AH51" s="1">
        <f t="shared" si="41"/>
        <v>0</v>
      </c>
      <c r="AI51" s="23">
        <f t="shared" si="42"/>
        <v>1</v>
      </c>
      <c r="AJ51" s="23">
        <f t="shared" si="43"/>
        <v>1.3680393302180687</v>
      </c>
      <c r="AK51" s="23">
        <f t="shared" si="44"/>
        <v>39.673140576323995</v>
      </c>
      <c r="AL51" s="23">
        <f t="shared" si="45"/>
        <v>59.509710864485996</v>
      </c>
      <c r="AM51" s="23">
        <f t="shared" si="46"/>
        <v>0</v>
      </c>
      <c r="AN51" s="23">
        <f t="shared" si="47"/>
        <v>59.509710864485996</v>
      </c>
      <c r="AQ51" s="32">
        <f t="shared" si="48"/>
        <v>42736</v>
      </c>
      <c r="AR51" s="32">
        <f t="shared" si="49"/>
        <v>42916</v>
      </c>
      <c r="AS51" s="52">
        <v>28</v>
      </c>
      <c r="AT51" s="1">
        <f t="shared" si="50"/>
        <v>181</v>
      </c>
      <c r="AU51" s="1">
        <f t="shared" si="51"/>
        <v>0</v>
      </c>
      <c r="AV51" s="1">
        <f t="shared" si="52"/>
        <v>0</v>
      </c>
      <c r="AW51" s="1">
        <f t="shared" si="53"/>
        <v>0</v>
      </c>
      <c r="AX51" s="1">
        <f t="shared" si="54"/>
        <v>0</v>
      </c>
      <c r="AY51" s="23">
        <f t="shared" si="55"/>
        <v>1</v>
      </c>
      <c r="AZ51" s="23">
        <f t="shared" si="56"/>
        <v>1.3680393302180687</v>
      </c>
      <c r="BA51" s="23">
        <f t="shared" si="57"/>
        <v>38.30510124610592</v>
      </c>
      <c r="BB51" s="23">
        <f t="shared" si="58"/>
        <v>57.45765186915888</v>
      </c>
      <c r="BC51" s="23">
        <f t="shared" si="59"/>
        <v>0</v>
      </c>
      <c r="BD51" s="23">
        <f t="shared" si="60"/>
        <v>57.45765186915888</v>
      </c>
    </row>
    <row r="52" spans="1:56">
      <c r="A52" s="1" t="s">
        <v>20</v>
      </c>
      <c r="B52" s="1" t="s">
        <v>55</v>
      </c>
      <c r="C52" s="1" t="s">
        <v>22</v>
      </c>
      <c r="D52" s="1" t="s">
        <v>56</v>
      </c>
      <c r="E52" s="51" t="s">
        <v>107</v>
      </c>
      <c r="F52" s="51" t="s">
        <v>114</v>
      </c>
      <c r="G52" s="51" t="s">
        <v>109</v>
      </c>
      <c r="H52" s="1" t="s">
        <v>1044</v>
      </c>
      <c r="I52" s="1" t="s">
        <v>116</v>
      </c>
      <c r="J52" s="51" t="s">
        <v>112</v>
      </c>
      <c r="K52" s="51" t="s">
        <v>112</v>
      </c>
      <c r="L52" s="51" t="s">
        <v>112</v>
      </c>
      <c r="M52" s="1">
        <v>1983337</v>
      </c>
      <c r="N52" s="52" t="s">
        <v>1064</v>
      </c>
      <c r="O52" s="55">
        <f t="shared" si="63"/>
        <v>42088</v>
      </c>
      <c r="P52" s="55">
        <f>DATE(2018,2,28)</f>
        <v>43159</v>
      </c>
      <c r="Q52" s="51">
        <v>3760</v>
      </c>
      <c r="S52" s="51">
        <v>2.5</v>
      </c>
      <c r="U52" s="1">
        <f t="shared" si="31"/>
        <v>1072</v>
      </c>
      <c r="V52" s="31">
        <f t="shared" si="32"/>
        <v>3.5074626865671643</v>
      </c>
      <c r="W52" s="31">
        <f t="shared" si="33"/>
        <v>1280.2238805970151</v>
      </c>
      <c r="X52" s="31">
        <f t="shared" si="34"/>
        <v>1.6002798507462688</v>
      </c>
      <c r="AA52" s="32">
        <f t="shared" si="35"/>
        <v>42552</v>
      </c>
      <c r="AB52" s="32">
        <f t="shared" si="36"/>
        <v>42735</v>
      </c>
      <c r="AC52" s="52">
        <v>37</v>
      </c>
      <c r="AD52" s="1">
        <f t="shared" si="37"/>
        <v>184</v>
      </c>
      <c r="AE52" s="1">
        <f t="shared" si="38"/>
        <v>0</v>
      </c>
      <c r="AF52" s="1">
        <f t="shared" si="39"/>
        <v>0</v>
      </c>
      <c r="AG52" s="1">
        <f t="shared" si="40"/>
        <v>0</v>
      </c>
      <c r="AH52" s="1">
        <f t="shared" si="41"/>
        <v>0</v>
      </c>
      <c r="AI52" s="23">
        <f t="shared" si="42"/>
        <v>1</v>
      </c>
      <c r="AJ52" s="23">
        <f t="shared" si="43"/>
        <v>1.6002798507462688</v>
      </c>
      <c r="AK52" s="23">
        <f t="shared" si="44"/>
        <v>59.210354477611943</v>
      </c>
      <c r="AL52" s="23">
        <f t="shared" si="45"/>
        <v>148.02588619402985</v>
      </c>
      <c r="AM52" s="23">
        <f t="shared" si="46"/>
        <v>0</v>
      </c>
      <c r="AN52" s="23">
        <f t="shared" si="47"/>
        <v>148.02588619402985</v>
      </c>
      <c r="AQ52" s="32">
        <f t="shared" si="48"/>
        <v>42736</v>
      </c>
      <c r="AR52" s="32">
        <f t="shared" si="49"/>
        <v>42916</v>
      </c>
      <c r="AS52" s="52">
        <v>37</v>
      </c>
      <c r="AT52" s="1">
        <f t="shared" si="50"/>
        <v>181</v>
      </c>
      <c r="AU52" s="1">
        <f t="shared" si="51"/>
        <v>0</v>
      </c>
      <c r="AV52" s="1">
        <f t="shared" si="52"/>
        <v>0</v>
      </c>
      <c r="AW52" s="1">
        <f t="shared" si="53"/>
        <v>0</v>
      </c>
      <c r="AX52" s="1">
        <f t="shared" si="54"/>
        <v>0</v>
      </c>
      <c r="AY52" s="23">
        <f t="shared" si="55"/>
        <v>1</v>
      </c>
      <c r="AZ52" s="23">
        <f t="shared" si="56"/>
        <v>1.6002798507462688</v>
      </c>
      <c r="BA52" s="23">
        <f t="shared" si="57"/>
        <v>59.210354477611943</v>
      </c>
      <c r="BB52" s="23">
        <f t="shared" si="58"/>
        <v>148.02588619402985</v>
      </c>
      <c r="BC52" s="23">
        <f t="shared" si="59"/>
        <v>0</v>
      </c>
      <c r="BD52" s="23">
        <f t="shared" si="60"/>
        <v>148.02588619402985</v>
      </c>
    </row>
    <row r="53" spans="1:56">
      <c r="A53" s="1" t="s">
        <v>20</v>
      </c>
      <c r="B53" s="1" t="s">
        <v>55</v>
      </c>
      <c r="C53" s="1" t="s">
        <v>22</v>
      </c>
      <c r="D53" s="1" t="s">
        <v>56</v>
      </c>
      <c r="E53" s="51" t="s">
        <v>107</v>
      </c>
      <c r="F53" s="51" t="s">
        <v>294</v>
      </c>
      <c r="G53" s="51" t="s">
        <v>109</v>
      </c>
      <c r="H53" s="1" t="s">
        <v>1024</v>
      </c>
      <c r="I53" s="1" t="s">
        <v>111</v>
      </c>
      <c r="J53" s="51" t="s">
        <v>112</v>
      </c>
      <c r="K53" s="51" t="s">
        <v>112</v>
      </c>
      <c r="L53" s="51" t="s">
        <v>112</v>
      </c>
      <c r="M53" s="1">
        <v>1983338</v>
      </c>
      <c r="N53" s="52" t="s">
        <v>1065</v>
      </c>
      <c r="O53" s="55">
        <f t="shared" si="63"/>
        <v>42088</v>
      </c>
      <c r="P53" s="55">
        <f>DATE(2018,2,28)</f>
        <v>43159</v>
      </c>
      <c r="Q53" s="51">
        <v>2658</v>
      </c>
      <c r="S53" s="51">
        <v>2.5</v>
      </c>
      <c r="U53" s="1">
        <f t="shared" si="31"/>
        <v>1072</v>
      </c>
      <c r="V53" s="31">
        <f t="shared" si="32"/>
        <v>2.4794776119402986</v>
      </c>
      <c r="W53" s="31">
        <f t="shared" si="33"/>
        <v>905.00932835820902</v>
      </c>
      <c r="X53" s="31">
        <f t="shared" si="34"/>
        <v>1.1312616604477612</v>
      </c>
      <c r="AA53" s="32">
        <f t="shared" si="35"/>
        <v>42552</v>
      </c>
      <c r="AB53" s="32">
        <f t="shared" si="36"/>
        <v>42735</v>
      </c>
      <c r="AC53" s="52">
        <v>26</v>
      </c>
      <c r="AD53" s="1">
        <f t="shared" si="37"/>
        <v>184</v>
      </c>
      <c r="AE53" s="1">
        <f t="shared" si="38"/>
        <v>0</v>
      </c>
      <c r="AF53" s="1">
        <f t="shared" si="39"/>
        <v>0</v>
      </c>
      <c r="AG53" s="1">
        <f t="shared" si="40"/>
        <v>0</v>
      </c>
      <c r="AH53" s="1">
        <f t="shared" si="41"/>
        <v>0</v>
      </c>
      <c r="AI53" s="23">
        <f t="shared" si="42"/>
        <v>1</v>
      </c>
      <c r="AJ53" s="23">
        <f t="shared" si="43"/>
        <v>1.1312616604477612</v>
      </c>
      <c r="AK53" s="23">
        <f t="shared" si="44"/>
        <v>29.412803171641791</v>
      </c>
      <c r="AL53" s="23">
        <f t="shared" si="45"/>
        <v>73.532007929104481</v>
      </c>
      <c r="AM53" s="23">
        <f t="shared" si="46"/>
        <v>0</v>
      </c>
      <c r="AN53" s="23">
        <f t="shared" si="47"/>
        <v>73.532007929104481</v>
      </c>
      <c r="AQ53" s="32">
        <f t="shared" si="48"/>
        <v>42736</v>
      </c>
      <c r="AR53" s="32">
        <f t="shared" si="49"/>
        <v>42916</v>
      </c>
      <c r="AS53" s="52">
        <v>26</v>
      </c>
      <c r="AT53" s="1">
        <f t="shared" si="50"/>
        <v>181</v>
      </c>
      <c r="AU53" s="1">
        <f t="shared" si="51"/>
        <v>0</v>
      </c>
      <c r="AV53" s="1">
        <f t="shared" si="52"/>
        <v>0</v>
      </c>
      <c r="AW53" s="1">
        <f t="shared" si="53"/>
        <v>0</v>
      </c>
      <c r="AX53" s="1">
        <f t="shared" si="54"/>
        <v>0</v>
      </c>
      <c r="AY53" s="23">
        <f t="shared" si="55"/>
        <v>1</v>
      </c>
      <c r="AZ53" s="23">
        <f t="shared" si="56"/>
        <v>1.1312616604477612</v>
      </c>
      <c r="BA53" s="23">
        <f t="shared" si="57"/>
        <v>29.412803171641791</v>
      </c>
      <c r="BB53" s="23">
        <f t="shared" si="58"/>
        <v>73.532007929104481</v>
      </c>
      <c r="BC53" s="23">
        <f t="shared" si="59"/>
        <v>0</v>
      </c>
      <c r="BD53" s="23">
        <f t="shared" si="60"/>
        <v>73.532007929104481</v>
      </c>
    </row>
    <row r="54" spans="1:56">
      <c r="A54" s="1" t="s">
        <v>20</v>
      </c>
      <c r="B54" s="1" t="s">
        <v>55</v>
      </c>
      <c r="C54" s="1" t="s">
        <v>22</v>
      </c>
      <c r="D54" s="1" t="s">
        <v>56</v>
      </c>
      <c r="E54" s="51" t="s">
        <v>107</v>
      </c>
      <c r="F54" s="51" t="s">
        <v>294</v>
      </c>
      <c r="G54" s="51" t="s">
        <v>109</v>
      </c>
      <c r="H54" s="1" t="s">
        <v>297</v>
      </c>
      <c r="I54" s="1" t="s">
        <v>147</v>
      </c>
      <c r="J54" s="51" t="s">
        <v>112</v>
      </c>
      <c r="K54" s="51" t="s">
        <v>112</v>
      </c>
      <c r="L54" s="51" t="s">
        <v>112</v>
      </c>
      <c r="M54" s="1">
        <v>1983340</v>
      </c>
      <c r="N54" s="52" t="s">
        <v>1066</v>
      </c>
      <c r="O54" s="55">
        <f t="shared" si="63"/>
        <v>42088</v>
      </c>
      <c r="P54" s="55">
        <f>DATE(2018,2,28)</f>
        <v>43159</v>
      </c>
      <c r="Q54" s="51">
        <v>3175</v>
      </c>
      <c r="S54" s="51">
        <v>2</v>
      </c>
      <c r="U54" s="1">
        <f t="shared" si="31"/>
        <v>1072</v>
      </c>
      <c r="V54" s="31">
        <f t="shared" si="32"/>
        <v>2.9617537313432836</v>
      </c>
      <c r="W54" s="31">
        <f t="shared" si="33"/>
        <v>1081.0401119402984</v>
      </c>
      <c r="X54" s="31">
        <f t="shared" si="34"/>
        <v>1.351300139925373</v>
      </c>
      <c r="AA54" s="32">
        <f t="shared" si="35"/>
        <v>42552</v>
      </c>
      <c r="AB54" s="32">
        <f t="shared" si="36"/>
        <v>42735</v>
      </c>
      <c r="AC54" s="52">
        <v>26</v>
      </c>
      <c r="AD54" s="1">
        <f t="shared" si="37"/>
        <v>184</v>
      </c>
      <c r="AE54" s="1">
        <f t="shared" si="38"/>
        <v>0</v>
      </c>
      <c r="AF54" s="1">
        <f t="shared" si="39"/>
        <v>0</v>
      </c>
      <c r="AG54" s="1">
        <f t="shared" si="40"/>
        <v>0</v>
      </c>
      <c r="AH54" s="1">
        <f t="shared" si="41"/>
        <v>0</v>
      </c>
      <c r="AI54" s="23">
        <f t="shared" si="42"/>
        <v>1</v>
      </c>
      <c r="AJ54" s="23">
        <f t="shared" si="43"/>
        <v>1.351300139925373</v>
      </c>
      <c r="AK54" s="23">
        <f t="shared" si="44"/>
        <v>35.133803638059696</v>
      </c>
      <c r="AL54" s="23">
        <f t="shared" si="45"/>
        <v>70.267607276119392</v>
      </c>
      <c r="AM54" s="23">
        <f t="shared" si="46"/>
        <v>0</v>
      </c>
      <c r="AN54" s="23">
        <f t="shared" si="47"/>
        <v>70.267607276119392</v>
      </c>
      <c r="AQ54" s="32">
        <f t="shared" si="48"/>
        <v>42736</v>
      </c>
      <c r="AR54" s="32">
        <f t="shared" si="49"/>
        <v>42916</v>
      </c>
      <c r="AS54" s="52">
        <v>26</v>
      </c>
      <c r="AT54" s="1">
        <f t="shared" si="50"/>
        <v>181</v>
      </c>
      <c r="AU54" s="1">
        <f t="shared" si="51"/>
        <v>0</v>
      </c>
      <c r="AV54" s="1">
        <f t="shared" si="52"/>
        <v>0</v>
      </c>
      <c r="AW54" s="1">
        <f t="shared" si="53"/>
        <v>0</v>
      </c>
      <c r="AX54" s="1">
        <f t="shared" si="54"/>
        <v>0</v>
      </c>
      <c r="AY54" s="23">
        <f t="shared" si="55"/>
        <v>1</v>
      </c>
      <c r="AZ54" s="23">
        <f t="shared" si="56"/>
        <v>1.351300139925373</v>
      </c>
      <c r="BA54" s="23">
        <f t="shared" si="57"/>
        <v>35.133803638059696</v>
      </c>
      <c r="BB54" s="23">
        <f t="shared" si="58"/>
        <v>70.267607276119392</v>
      </c>
      <c r="BC54" s="23">
        <f t="shared" si="59"/>
        <v>0</v>
      </c>
      <c r="BD54" s="23">
        <f t="shared" si="60"/>
        <v>70.267607276119392</v>
      </c>
    </row>
    <row r="55" spans="1:56">
      <c r="A55" s="1" t="s">
        <v>20</v>
      </c>
      <c r="B55" s="1" t="s">
        <v>55</v>
      </c>
      <c r="C55" s="1" t="s">
        <v>22</v>
      </c>
      <c r="D55" s="1" t="s">
        <v>56</v>
      </c>
      <c r="E55" s="51" t="s">
        <v>107</v>
      </c>
      <c r="F55" s="51" t="s">
        <v>108</v>
      </c>
      <c r="G55" s="51" t="s">
        <v>109</v>
      </c>
      <c r="H55" s="1" t="s">
        <v>146</v>
      </c>
      <c r="I55" s="1" t="s">
        <v>147</v>
      </c>
      <c r="J55" s="51" t="s">
        <v>148</v>
      </c>
      <c r="K55" s="51" t="s">
        <v>148</v>
      </c>
      <c r="L55" s="51" t="s">
        <v>112</v>
      </c>
      <c r="M55" s="1">
        <v>1983342</v>
      </c>
      <c r="N55" s="52" t="s">
        <v>1067</v>
      </c>
      <c r="O55" s="55">
        <f t="shared" si="63"/>
        <v>42088</v>
      </c>
      <c r="P55" s="55">
        <f>DATE(2018,9,28)</f>
        <v>43371</v>
      </c>
      <c r="Q55" s="51">
        <v>2555</v>
      </c>
      <c r="S55" s="51">
        <v>2.5</v>
      </c>
      <c r="U55" s="1">
        <f t="shared" si="31"/>
        <v>1284</v>
      </c>
      <c r="V55" s="31">
        <f t="shared" si="32"/>
        <v>1.9898753894080996</v>
      </c>
      <c r="W55" s="31">
        <f t="shared" si="33"/>
        <v>726.30451713395632</v>
      </c>
      <c r="X55" s="31">
        <f t="shared" si="34"/>
        <v>0.90788064641744537</v>
      </c>
      <c r="AA55" s="32">
        <f t="shared" si="35"/>
        <v>42552</v>
      </c>
      <c r="AB55" s="32">
        <f t="shared" si="36"/>
        <v>42735</v>
      </c>
      <c r="AC55" s="52">
        <v>25</v>
      </c>
      <c r="AD55" s="1">
        <f t="shared" si="37"/>
        <v>184</v>
      </c>
      <c r="AE55" s="1">
        <f t="shared" si="38"/>
        <v>0</v>
      </c>
      <c r="AF55" s="1">
        <f t="shared" si="39"/>
        <v>0</v>
      </c>
      <c r="AG55" s="1">
        <f t="shared" si="40"/>
        <v>0</v>
      </c>
      <c r="AH55" s="1">
        <f t="shared" si="41"/>
        <v>0</v>
      </c>
      <c r="AI55" s="23">
        <f t="shared" si="42"/>
        <v>1</v>
      </c>
      <c r="AJ55" s="23">
        <f t="shared" si="43"/>
        <v>0.90788064641744537</v>
      </c>
      <c r="AK55" s="23">
        <f t="shared" si="44"/>
        <v>22.697016160436135</v>
      </c>
      <c r="AL55" s="23">
        <f t="shared" si="45"/>
        <v>56.742540401090338</v>
      </c>
      <c r="AM55" s="23">
        <f t="shared" si="46"/>
        <v>28.371270200545169</v>
      </c>
      <c r="AN55" s="23">
        <f t="shared" si="47"/>
        <v>85.113810601635507</v>
      </c>
      <c r="AQ55" s="32">
        <f t="shared" si="48"/>
        <v>42736</v>
      </c>
      <c r="AR55" s="32">
        <f t="shared" si="49"/>
        <v>42916</v>
      </c>
      <c r="AS55" s="52">
        <v>25</v>
      </c>
      <c r="AT55" s="1">
        <f t="shared" si="50"/>
        <v>181</v>
      </c>
      <c r="AU55" s="1">
        <f t="shared" si="51"/>
        <v>0</v>
      </c>
      <c r="AV55" s="1">
        <f t="shared" si="52"/>
        <v>0</v>
      </c>
      <c r="AW55" s="1">
        <f t="shared" si="53"/>
        <v>0</v>
      </c>
      <c r="AX55" s="1">
        <f t="shared" si="54"/>
        <v>0</v>
      </c>
      <c r="AY55" s="23">
        <f t="shared" si="55"/>
        <v>1</v>
      </c>
      <c r="AZ55" s="23">
        <f t="shared" si="56"/>
        <v>0.90788064641744537</v>
      </c>
      <c r="BA55" s="23">
        <f t="shared" si="57"/>
        <v>22.697016160436135</v>
      </c>
      <c r="BB55" s="23">
        <f t="shared" si="58"/>
        <v>56.742540401090338</v>
      </c>
      <c r="BC55" s="23">
        <f t="shared" si="59"/>
        <v>28.371270200545169</v>
      </c>
      <c r="BD55" s="23">
        <f t="shared" si="60"/>
        <v>85.113810601635507</v>
      </c>
    </row>
    <row r="56" spans="1:56">
      <c r="A56" s="1" t="s">
        <v>20</v>
      </c>
      <c r="B56" s="1" t="s">
        <v>55</v>
      </c>
      <c r="C56" s="1" t="s">
        <v>22</v>
      </c>
      <c r="D56" s="1" t="s">
        <v>56</v>
      </c>
      <c r="E56" s="51" t="s">
        <v>107</v>
      </c>
      <c r="F56" s="51" t="s">
        <v>108</v>
      </c>
      <c r="G56" s="51" t="s">
        <v>109</v>
      </c>
      <c r="H56" s="1" t="s">
        <v>146</v>
      </c>
      <c r="I56" s="1" t="s">
        <v>147</v>
      </c>
      <c r="J56" s="51" t="s">
        <v>148</v>
      </c>
      <c r="K56" s="51" t="s">
        <v>112</v>
      </c>
      <c r="L56" s="51" t="s">
        <v>112</v>
      </c>
      <c r="M56" s="1">
        <v>2004159</v>
      </c>
      <c r="N56" s="51" t="s">
        <v>1068</v>
      </c>
      <c r="O56" s="55">
        <f>DATE(2015,10,26)</f>
        <v>42303</v>
      </c>
      <c r="P56" s="55">
        <f>DATE(2017,3,10)</f>
        <v>42804</v>
      </c>
      <c r="Q56" s="51">
        <v>1240</v>
      </c>
      <c r="S56" s="51">
        <v>2.5</v>
      </c>
      <c r="U56" s="1">
        <f t="shared" si="31"/>
        <v>502</v>
      </c>
      <c r="V56" s="31">
        <f t="shared" si="32"/>
        <v>2.4701195219123506</v>
      </c>
      <c r="W56" s="31">
        <f t="shared" si="33"/>
        <v>901.59362549800801</v>
      </c>
      <c r="X56" s="31">
        <f t="shared" si="34"/>
        <v>1.12699203187251</v>
      </c>
      <c r="AA56" s="32">
        <f t="shared" si="35"/>
        <v>42552</v>
      </c>
      <c r="AB56" s="32">
        <f t="shared" si="36"/>
        <v>42735</v>
      </c>
      <c r="AC56" s="51">
        <v>17</v>
      </c>
      <c r="AD56" s="1">
        <f t="shared" si="37"/>
        <v>184</v>
      </c>
      <c r="AE56" s="1">
        <f t="shared" si="38"/>
        <v>0</v>
      </c>
      <c r="AF56" s="1">
        <f t="shared" si="39"/>
        <v>0</v>
      </c>
      <c r="AG56" s="1">
        <f t="shared" si="40"/>
        <v>0</v>
      </c>
      <c r="AH56" s="1">
        <f t="shared" si="41"/>
        <v>0</v>
      </c>
      <c r="AI56" s="23">
        <f t="shared" si="42"/>
        <v>1</v>
      </c>
      <c r="AJ56" s="23">
        <f t="shared" si="43"/>
        <v>1.12699203187251</v>
      </c>
      <c r="AK56" s="23">
        <f t="shared" si="44"/>
        <v>19.158864541832671</v>
      </c>
      <c r="AL56" s="23">
        <f t="shared" si="45"/>
        <v>47.897161354581677</v>
      </c>
      <c r="AM56" s="23">
        <f t="shared" si="46"/>
        <v>23.948580677290838</v>
      </c>
      <c r="AN56" s="23">
        <f t="shared" si="47"/>
        <v>71.845742031872518</v>
      </c>
      <c r="AQ56" s="32">
        <f t="shared" si="48"/>
        <v>42736</v>
      </c>
      <c r="AR56" s="32">
        <f t="shared" si="49"/>
        <v>42916</v>
      </c>
      <c r="AS56" s="51">
        <v>17</v>
      </c>
      <c r="AT56" s="1">
        <f t="shared" si="50"/>
        <v>0</v>
      </c>
      <c r="AU56" s="1">
        <f t="shared" si="51"/>
        <v>0</v>
      </c>
      <c r="AV56" s="1">
        <f t="shared" si="52"/>
        <v>69</v>
      </c>
      <c r="AW56" s="1">
        <f t="shared" si="53"/>
        <v>0</v>
      </c>
      <c r="AX56" s="1">
        <f t="shared" si="54"/>
        <v>0</v>
      </c>
      <c r="AY56" s="23">
        <f t="shared" si="55"/>
        <v>0.38121546961325969</v>
      </c>
      <c r="AZ56" s="23">
        <f t="shared" si="56"/>
        <v>0.4296267966806806</v>
      </c>
      <c r="BA56" s="23">
        <f t="shared" si="57"/>
        <v>7.30365554357157</v>
      </c>
      <c r="BB56" s="23">
        <f t="shared" si="58"/>
        <v>18.259138858928925</v>
      </c>
      <c r="BC56" s="23">
        <f t="shared" si="59"/>
        <v>9.1295694294644623</v>
      </c>
      <c r="BD56" s="23">
        <f t="shared" si="60"/>
        <v>27.388708288393389</v>
      </c>
    </row>
    <row r="57" spans="1:56">
      <c r="A57" s="1" t="s">
        <v>20</v>
      </c>
      <c r="B57" s="1" t="s">
        <v>55</v>
      </c>
      <c r="C57" s="1" t="s">
        <v>22</v>
      </c>
      <c r="D57" s="1" t="s">
        <v>56</v>
      </c>
      <c r="E57" s="51" t="s">
        <v>107</v>
      </c>
      <c r="F57" s="51" t="s">
        <v>108</v>
      </c>
      <c r="G57" s="51" t="s">
        <v>109</v>
      </c>
      <c r="H57" s="1" t="s">
        <v>275</v>
      </c>
      <c r="I57" s="1" t="s">
        <v>128</v>
      </c>
      <c r="J57" s="51" t="s">
        <v>112</v>
      </c>
      <c r="K57" s="51" t="s">
        <v>112</v>
      </c>
      <c r="L57" s="51" t="s">
        <v>112</v>
      </c>
      <c r="M57" s="1">
        <v>2004160</v>
      </c>
      <c r="N57" s="51" t="s">
        <v>1069</v>
      </c>
      <c r="O57" s="55">
        <f>DATE(2015,10,26)</f>
        <v>42303</v>
      </c>
      <c r="P57" s="55">
        <f>DATE(2017,9,22)</f>
        <v>43000</v>
      </c>
      <c r="Q57" s="51">
        <v>1622</v>
      </c>
      <c r="S57" s="51">
        <v>2.5</v>
      </c>
      <c r="U57" s="1">
        <f t="shared" si="31"/>
        <v>698</v>
      </c>
      <c r="V57" s="31">
        <f t="shared" si="32"/>
        <v>2.3237822349570201</v>
      </c>
      <c r="W57" s="31">
        <f t="shared" si="33"/>
        <v>848.18051575931236</v>
      </c>
      <c r="X57" s="31">
        <f t="shared" si="34"/>
        <v>1.0602256446991405</v>
      </c>
      <c r="AA57" s="32">
        <f t="shared" si="35"/>
        <v>42552</v>
      </c>
      <c r="AB57" s="32">
        <f t="shared" si="36"/>
        <v>42735</v>
      </c>
      <c r="AC57" s="51">
        <v>36</v>
      </c>
      <c r="AD57" s="1">
        <f t="shared" si="37"/>
        <v>184</v>
      </c>
      <c r="AE57" s="1">
        <f t="shared" si="38"/>
        <v>0</v>
      </c>
      <c r="AF57" s="1">
        <f t="shared" si="39"/>
        <v>0</v>
      </c>
      <c r="AG57" s="1">
        <f t="shared" si="40"/>
        <v>0</v>
      </c>
      <c r="AH57" s="1">
        <f t="shared" si="41"/>
        <v>0</v>
      </c>
      <c r="AI57" s="23">
        <f t="shared" si="42"/>
        <v>1</v>
      </c>
      <c r="AJ57" s="23">
        <f t="shared" si="43"/>
        <v>1.0602256446991405</v>
      </c>
      <c r="AK57" s="23">
        <f t="shared" si="44"/>
        <v>38.16812320916906</v>
      </c>
      <c r="AL57" s="23">
        <f t="shared" si="45"/>
        <v>95.420308022922654</v>
      </c>
      <c r="AM57" s="23">
        <f t="shared" si="46"/>
        <v>0</v>
      </c>
      <c r="AN57" s="23">
        <f t="shared" si="47"/>
        <v>95.420308022922654</v>
      </c>
      <c r="AQ57" s="32">
        <f t="shared" si="48"/>
        <v>42736</v>
      </c>
      <c r="AR57" s="32">
        <f t="shared" si="49"/>
        <v>42916</v>
      </c>
      <c r="AS57" s="51">
        <v>35</v>
      </c>
      <c r="AT57" s="1">
        <f t="shared" si="50"/>
        <v>181</v>
      </c>
      <c r="AU57" s="1">
        <f t="shared" si="51"/>
        <v>0</v>
      </c>
      <c r="AV57" s="1">
        <f t="shared" si="52"/>
        <v>0</v>
      </c>
      <c r="AW57" s="1">
        <f t="shared" si="53"/>
        <v>0</v>
      </c>
      <c r="AX57" s="1">
        <f t="shared" si="54"/>
        <v>0</v>
      </c>
      <c r="AY57" s="23">
        <f t="shared" si="55"/>
        <v>1</v>
      </c>
      <c r="AZ57" s="23">
        <f t="shared" si="56"/>
        <v>1.0602256446991405</v>
      </c>
      <c r="BA57" s="23">
        <f t="shared" si="57"/>
        <v>37.107897564469916</v>
      </c>
      <c r="BB57" s="23">
        <f t="shared" si="58"/>
        <v>92.769743911174785</v>
      </c>
      <c r="BC57" s="23">
        <f t="shared" si="59"/>
        <v>0</v>
      </c>
      <c r="BD57" s="23">
        <f t="shared" si="60"/>
        <v>92.769743911174785</v>
      </c>
    </row>
    <row r="58" spans="1:56">
      <c r="A58" s="1" t="s">
        <v>20</v>
      </c>
      <c r="B58" s="1" t="s">
        <v>55</v>
      </c>
      <c r="C58" s="1" t="s">
        <v>22</v>
      </c>
      <c r="D58" s="1" t="s">
        <v>56</v>
      </c>
      <c r="E58" s="51" t="s">
        <v>107</v>
      </c>
      <c r="F58" s="51" t="s">
        <v>108</v>
      </c>
      <c r="G58" s="51" t="s">
        <v>109</v>
      </c>
      <c r="H58" s="1" t="s">
        <v>124</v>
      </c>
      <c r="I58" s="1" t="s">
        <v>125</v>
      </c>
      <c r="J58" s="51" t="s">
        <v>112</v>
      </c>
      <c r="K58" s="51" t="s">
        <v>112</v>
      </c>
      <c r="L58" s="51" t="s">
        <v>112</v>
      </c>
      <c r="M58" s="1">
        <v>2004161</v>
      </c>
      <c r="N58" s="51" t="s">
        <v>1070</v>
      </c>
      <c r="O58" s="55">
        <f>DATE(2015,10,26)</f>
        <v>42303</v>
      </c>
      <c r="P58" s="55">
        <f>DATE(2017,3,10)</f>
        <v>42804</v>
      </c>
      <c r="Q58" s="51">
        <v>1605</v>
      </c>
      <c r="S58" s="51">
        <v>2.5</v>
      </c>
      <c r="U58" s="1">
        <f t="shared" si="31"/>
        <v>502</v>
      </c>
      <c r="V58" s="31">
        <f t="shared" si="32"/>
        <v>3.1972111553784859</v>
      </c>
      <c r="W58" s="31">
        <f t="shared" si="33"/>
        <v>1166.9820717131474</v>
      </c>
      <c r="X58" s="31">
        <f t="shared" si="34"/>
        <v>1.4587275896414342</v>
      </c>
      <c r="AA58" s="32">
        <f t="shared" si="35"/>
        <v>42552</v>
      </c>
      <c r="AB58" s="32">
        <f t="shared" si="36"/>
        <v>42735</v>
      </c>
      <c r="AC58" s="51">
        <v>20</v>
      </c>
      <c r="AD58" s="1">
        <f t="shared" si="37"/>
        <v>184</v>
      </c>
      <c r="AE58" s="1">
        <f t="shared" si="38"/>
        <v>0</v>
      </c>
      <c r="AF58" s="1">
        <f t="shared" si="39"/>
        <v>0</v>
      </c>
      <c r="AG58" s="1">
        <f t="shared" si="40"/>
        <v>0</v>
      </c>
      <c r="AH58" s="1">
        <f t="shared" si="41"/>
        <v>0</v>
      </c>
      <c r="AI58" s="23">
        <f t="shared" si="42"/>
        <v>1</v>
      </c>
      <c r="AJ58" s="23">
        <f t="shared" si="43"/>
        <v>1.4587275896414342</v>
      </c>
      <c r="AK58" s="23">
        <f t="shared" si="44"/>
        <v>29.174551792828684</v>
      </c>
      <c r="AL58" s="23">
        <f t="shared" si="45"/>
        <v>72.936379482071715</v>
      </c>
      <c r="AM58" s="23">
        <f t="shared" si="46"/>
        <v>0</v>
      </c>
      <c r="AN58" s="23">
        <f t="shared" si="47"/>
        <v>72.936379482071715</v>
      </c>
      <c r="AQ58" s="32">
        <f t="shared" si="48"/>
        <v>42736</v>
      </c>
      <c r="AR58" s="32">
        <f t="shared" si="49"/>
        <v>42916</v>
      </c>
      <c r="AS58" s="51">
        <v>19</v>
      </c>
      <c r="AT58" s="1">
        <f t="shared" si="50"/>
        <v>0</v>
      </c>
      <c r="AU58" s="1">
        <f t="shared" si="51"/>
        <v>0</v>
      </c>
      <c r="AV58" s="1">
        <f t="shared" si="52"/>
        <v>69</v>
      </c>
      <c r="AW58" s="1">
        <f t="shared" si="53"/>
        <v>0</v>
      </c>
      <c r="AX58" s="1">
        <f t="shared" si="54"/>
        <v>0</v>
      </c>
      <c r="AY58" s="23">
        <f t="shared" si="55"/>
        <v>0.38121546961325969</v>
      </c>
      <c r="AZ58" s="23">
        <f t="shared" si="56"/>
        <v>0.55608952312297777</v>
      </c>
      <c r="BA58" s="23">
        <f t="shared" si="57"/>
        <v>10.565700939336578</v>
      </c>
      <c r="BB58" s="23">
        <f t="shared" si="58"/>
        <v>26.414252348341446</v>
      </c>
      <c r="BC58" s="23">
        <f t="shared" si="59"/>
        <v>0</v>
      </c>
      <c r="BD58" s="23">
        <f t="shared" si="60"/>
        <v>26.414252348341446</v>
      </c>
    </row>
    <row r="59" spans="1:56">
      <c r="A59" s="1" t="s">
        <v>20</v>
      </c>
      <c r="B59" s="1" t="s">
        <v>55</v>
      </c>
      <c r="C59" s="1" t="s">
        <v>22</v>
      </c>
      <c r="D59" s="1" t="s">
        <v>56</v>
      </c>
      <c r="E59" s="51" t="s">
        <v>107</v>
      </c>
      <c r="F59" s="51" t="s">
        <v>108</v>
      </c>
      <c r="G59" s="51" t="s">
        <v>109</v>
      </c>
      <c r="H59" s="1" t="s">
        <v>937</v>
      </c>
      <c r="I59" s="1" t="s">
        <v>111</v>
      </c>
      <c r="J59" s="51" t="s">
        <v>112</v>
      </c>
      <c r="K59" s="51" t="s">
        <v>112</v>
      </c>
      <c r="L59" s="51" t="s">
        <v>112</v>
      </c>
      <c r="M59" s="1">
        <v>2004162</v>
      </c>
      <c r="N59" s="51" t="s">
        <v>1071</v>
      </c>
      <c r="O59" s="55">
        <f>DATE(2015,10,26)</f>
        <v>42303</v>
      </c>
      <c r="P59" s="55">
        <f>DATE(2017,3,10)</f>
        <v>42804</v>
      </c>
      <c r="Q59" s="51">
        <v>1240</v>
      </c>
      <c r="S59" s="51">
        <v>1.5</v>
      </c>
      <c r="U59" s="1">
        <f t="shared" si="31"/>
        <v>502</v>
      </c>
      <c r="V59" s="31">
        <f t="shared" si="32"/>
        <v>2.4701195219123506</v>
      </c>
      <c r="W59" s="31">
        <f t="shared" si="33"/>
        <v>901.59362549800801</v>
      </c>
      <c r="X59" s="31">
        <f t="shared" si="34"/>
        <v>1.12699203187251</v>
      </c>
      <c r="AA59" s="32">
        <f t="shared" si="35"/>
        <v>42552</v>
      </c>
      <c r="AB59" s="32">
        <f t="shared" si="36"/>
        <v>42735</v>
      </c>
      <c r="AC59" s="51">
        <v>16</v>
      </c>
      <c r="AD59" s="1">
        <f t="shared" si="37"/>
        <v>184</v>
      </c>
      <c r="AE59" s="1">
        <f t="shared" si="38"/>
        <v>0</v>
      </c>
      <c r="AF59" s="1">
        <f t="shared" si="39"/>
        <v>0</v>
      </c>
      <c r="AG59" s="1">
        <f t="shared" si="40"/>
        <v>0</v>
      </c>
      <c r="AH59" s="1">
        <f t="shared" si="41"/>
        <v>0</v>
      </c>
      <c r="AI59" s="23">
        <f t="shared" si="42"/>
        <v>1</v>
      </c>
      <c r="AJ59" s="23">
        <f t="shared" si="43"/>
        <v>1.12699203187251</v>
      </c>
      <c r="AK59" s="23">
        <f t="shared" si="44"/>
        <v>18.031872509960159</v>
      </c>
      <c r="AL59" s="23">
        <f t="shared" si="45"/>
        <v>27.047808764940239</v>
      </c>
      <c r="AM59" s="23">
        <f t="shared" si="46"/>
        <v>0</v>
      </c>
      <c r="AN59" s="23">
        <f t="shared" si="47"/>
        <v>27.047808764940239</v>
      </c>
      <c r="AQ59" s="32">
        <f t="shared" si="48"/>
        <v>42736</v>
      </c>
      <c r="AR59" s="32">
        <f t="shared" si="49"/>
        <v>42916</v>
      </c>
      <c r="AS59" s="51">
        <v>15</v>
      </c>
      <c r="AT59" s="1">
        <f t="shared" si="50"/>
        <v>0</v>
      </c>
      <c r="AU59" s="1">
        <f t="shared" si="51"/>
        <v>0</v>
      </c>
      <c r="AV59" s="1">
        <f t="shared" si="52"/>
        <v>69</v>
      </c>
      <c r="AW59" s="1">
        <f t="shared" si="53"/>
        <v>0</v>
      </c>
      <c r="AX59" s="1">
        <f t="shared" si="54"/>
        <v>0</v>
      </c>
      <c r="AY59" s="23">
        <f t="shared" si="55"/>
        <v>0.38121546961325969</v>
      </c>
      <c r="AZ59" s="23">
        <f t="shared" si="56"/>
        <v>0.4296267966806806</v>
      </c>
      <c r="BA59" s="23">
        <f t="shared" si="57"/>
        <v>6.4444019502102092</v>
      </c>
      <c r="BB59" s="23">
        <f t="shared" si="58"/>
        <v>9.6666029253153134</v>
      </c>
      <c r="BC59" s="23">
        <f t="shared" si="59"/>
        <v>0</v>
      </c>
      <c r="BD59" s="23">
        <f t="shared" si="60"/>
        <v>9.6666029253153134</v>
      </c>
    </row>
    <row r="60" spans="1:56">
      <c r="A60" s="1" t="s">
        <v>20</v>
      </c>
      <c r="B60" s="1" t="s">
        <v>55</v>
      </c>
      <c r="C60" s="1" t="s">
        <v>22</v>
      </c>
      <c r="D60" s="1" t="s">
        <v>56</v>
      </c>
      <c r="E60" s="51" t="s">
        <v>107</v>
      </c>
      <c r="F60" s="51" t="s">
        <v>108</v>
      </c>
      <c r="G60" s="51" t="s">
        <v>109</v>
      </c>
      <c r="H60" s="1" t="s">
        <v>136</v>
      </c>
      <c r="I60" s="1" t="s">
        <v>131</v>
      </c>
      <c r="J60" s="51" t="s">
        <v>112</v>
      </c>
      <c r="K60" s="51" t="s">
        <v>112</v>
      </c>
      <c r="L60" s="51" t="s">
        <v>112</v>
      </c>
      <c r="M60" s="1">
        <v>2004163</v>
      </c>
      <c r="N60" s="51" t="s">
        <v>1072</v>
      </c>
      <c r="O60" s="55">
        <f>DATE(2015,10,26)</f>
        <v>42303</v>
      </c>
      <c r="P60" s="55">
        <f>DATE(2017,3,10)</f>
        <v>42804</v>
      </c>
      <c r="Q60" s="51">
        <v>1257</v>
      </c>
      <c r="S60" s="51">
        <v>1</v>
      </c>
      <c r="U60" s="1">
        <f t="shared" si="31"/>
        <v>502</v>
      </c>
      <c r="V60" s="31">
        <f t="shared" si="32"/>
        <v>2.5039840637450199</v>
      </c>
      <c r="W60" s="31">
        <f t="shared" si="33"/>
        <v>913.95418326693232</v>
      </c>
      <c r="X60" s="31">
        <f t="shared" si="34"/>
        <v>1.1424427290836654</v>
      </c>
      <c r="AA60" s="32">
        <f t="shared" si="35"/>
        <v>42552</v>
      </c>
      <c r="AB60" s="32">
        <f t="shared" si="36"/>
        <v>42735</v>
      </c>
      <c r="AC60" s="51">
        <v>19</v>
      </c>
      <c r="AD60" s="1">
        <f t="shared" si="37"/>
        <v>184</v>
      </c>
      <c r="AE60" s="1">
        <f t="shared" si="38"/>
        <v>0</v>
      </c>
      <c r="AF60" s="1">
        <f t="shared" si="39"/>
        <v>0</v>
      </c>
      <c r="AG60" s="1">
        <f t="shared" si="40"/>
        <v>0</v>
      </c>
      <c r="AH60" s="1">
        <f t="shared" si="41"/>
        <v>0</v>
      </c>
      <c r="AI60" s="23">
        <f t="shared" si="42"/>
        <v>1</v>
      </c>
      <c r="AJ60" s="23">
        <f t="shared" si="43"/>
        <v>1.1424427290836654</v>
      </c>
      <c r="AK60" s="23">
        <f t="shared" si="44"/>
        <v>21.706411852589643</v>
      </c>
      <c r="AL60" s="23">
        <f t="shared" si="45"/>
        <v>21.706411852589643</v>
      </c>
      <c r="AM60" s="23">
        <f t="shared" si="46"/>
        <v>0</v>
      </c>
      <c r="AN60" s="23">
        <f t="shared" si="47"/>
        <v>21.706411852589643</v>
      </c>
      <c r="AQ60" s="32">
        <f t="shared" si="48"/>
        <v>42736</v>
      </c>
      <c r="AR60" s="32">
        <f t="shared" si="49"/>
        <v>42916</v>
      </c>
      <c r="AS60" s="51">
        <v>18</v>
      </c>
      <c r="AT60" s="1">
        <f t="shared" si="50"/>
        <v>0</v>
      </c>
      <c r="AU60" s="1">
        <f t="shared" si="51"/>
        <v>0</v>
      </c>
      <c r="AV60" s="1">
        <f t="shared" si="52"/>
        <v>69</v>
      </c>
      <c r="AW60" s="1">
        <f t="shared" si="53"/>
        <v>0</v>
      </c>
      <c r="AX60" s="1">
        <f t="shared" si="54"/>
        <v>0</v>
      </c>
      <c r="AY60" s="23">
        <f t="shared" si="55"/>
        <v>0.38121546961325969</v>
      </c>
      <c r="AZ60" s="23">
        <f t="shared" si="56"/>
        <v>0.43551684147388353</v>
      </c>
      <c r="BA60" s="23">
        <f t="shared" si="57"/>
        <v>7.8393031465299039</v>
      </c>
      <c r="BB60" s="23">
        <f t="shared" si="58"/>
        <v>7.8393031465299039</v>
      </c>
      <c r="BC60" s="23">
        <f t="shared" si="59"/>
        <v>0</v>
      </c>
      <c r="BD60" s="23">
        <f t="shared" si="60"/>
        <v>7.8393031465299039</v>
      </c>
    </row>
    <row r="61" spans="1:56">
      <c r="A61" s="1" t="s">
        <v>20</v>
      </c>
      <c r="B61" s="1" t="s">
        <v>55</v>
      </c>
      <c r="C61" s="1" t="s">
        <v>22</v>
      </c>
      <c r="D61" s="1" t="s">
        <v>56</v>
      </c>
      <c r="E61" s="51" t="s">
        <v>107</v>
      </c>
      <c r="F61" s="51" t="s">
        <v>108</v>
      </c>
      <c r="G61" s="51" t="s">
        <v>109</v>
      </c>
      <c r="H61" s="1" t="s">
        <v>124</v>
      </c>
      <c r="I61" s="1" t="s">
        <v>125</v>
      </c>
      <c r="J61" s="51" t="s">
        <v>112</v>
      </c>
      <c r="K61" s="51" t="s">
        <v>112</v>
      </c>
      <c r="L61" s="51" t="s">
        <v>112</v>
      </c>
      <c r="M61" s="1">
        <v>2029213</v>
      </c>
      <c r="N61" s="52" t="s">
        <v>1073</v>
      </c>
      <c r="O61" s="55">
        <f t="shared" ref="O61:O68" si="64">DATE(2016,4,25)</f>
        <v>42485</v>
      </c>
      <c r="P61" s="55">
        <f>DATE(2019,12,31)</f>
        <v>43830</v>
      </c>
      <c r="Q61" s="51">
        <v>4051</v>
      </c>
      <c r="S61" s="51">
        <v>2.5</v>
      </c>
      <c r="U61" s="1">
        <f t="shared" si="31"/>
        <v>1346</v>
      </c>
      <c r="V61" s="31">
        <f t="shared" si="32"/>
        <v>3.0096582466567607</v>
      </c>
      <c r="W61" s="31">
        <f t="shared" si="33"/>
        <v>1098.5252600297176</v>
      </c>
      <c r="X61" s="31">
        <f t="shared" si="34"/>
        <v>1.3731565750371471</v>
      </c>
      <c r="AA61" s="32">
        <f t="shared" si="35"/>
        <v>42552</v>
      </c>
      <c r="AB61" s="32">
        <f t="shared" si="36"/>
        <v>42735</v>
      </c>
      <c r="AC61" s="52">
        <v>35</v>
      </c>
      <c r="AD61" s="1">
        <f t="shared" si="37"/>
        <v>184</v>
      </c>
      <c r="AE61" s="1">
        <f t="shared" si="38"/>
        <v>0</v>
      </c>
      <c r="AF61" s="1">
        <f t="shared" si="39"/>
        <v>0</v>
      </c>
      <c r="AG61" s="1">
        <f t="shared" si="40"/>
        <v>0</v>
      </c>
      <c r="AH61" s="1">
        <f t="shared" si="41"/>
        <v>0</v>
      </c>
      <c r="AI61" s="23">
        <f t="shared" si="42"/>
        <v>1</v>
      </c>
      <c r="AJ61" s="23">
        <f t="shared" si="43"/>
        <v>1.3731565750371471</v>
      </c>
      <c r="AK61" s="23">
        <f t="shared" si="44"/>
        <v>48.060480126300149</v>
      </c>
      <c r="AL61" s="23">
        <f t="shared" si="45"/>
        <v>120.15120031575037</v>
      </c>
      <c r="AM61" s="23">
        <f t="shared" si="46"/>
        <v>0</v>
      </c>
      <c r="AN61" s="23">
        <f t="shared" si="47"/>
        <v>120.15120031575037</v>
      </c>
      <c r="AQ61" s="32">
        <f t="shared" si="48"/>
        <v>42736</v>
      </c>
      <c r="AR61" s="32">
        <f t="shared" si="49"/>
        <v>42916</v>
      </c>
      <c r="AS61" s="52">
        <v>35</v>
      </c>
      <c r="AT61" s="1">
        <f t="shared" si="50"/>
        <v>181</v>
      </c>
      <c r="AU61" s="1">
        <f t="shared" si="51"/>
        <v>0</v>
      </c>
      <c r="AV61" s="1">
        <f t="shared" si="52"/>
        <v>0</v>
      </c>
      <c r="AW61" s="1">
        <f t="shared" si="53"/>
        <v>0</v>
      </c>
      <c r="AX61" s="1">
        <f t="shared" si="54"/>
        <v>0</v>
      </c>
      <c r="AY61" s="23">
        <f t="shared" si="55"/>
        <v>1</v>
      </c>
      <c r="AZ61" s="23">
        <f t="shared" si="56"/>
        <v>1.3731565750371471</v>
      </c>
      <c r="BA61" s="23">
        <f t="shared" si="57"/>
        <v>48.060480126300149</v>
      </c>
      <c r="BB61" s="23">
        <f t="shared" si="58"/>
        <v>120.15120031575037</v>
      </c>
      <c r="BC61" s="23">
        <f t="shared" si="59"/>
        <v>0</v>
      </c>
      <c r="BD61" s="23">
        <f t="shared" si="60"/>
        <v>120.15120031575037</v>
      </c>
    </row>
    <row r="62" spans="1:56">
      <c r="A62" s="1" t="s">
        <v>20</v>
      </c>
      <c r="B62" s="1" t="s">
        <v>55</v>
      </c>
      <c r="C62" s="1" t="s">
        <v>22</v>
      </c>
      <c r="D62" s="1" t="s">
        <v>56</v>
      </c>
      <c r="E62" s="51" t="s">
        <v>107</v>
      </c>
      <c r="F62" s="51" t="s">
        <v>108</v>
      </c>
      <c r="G62" s="51" t="s">
        <v>109</v>
      </c>
      <c r="H62" s="1" t="s">
        <v>179</v>
      </c>
      <c r="I62" s="1" t="s">
        <v>125</v>
      </c>
      <c r="J62" s="51" t="s">
        <v>112</v>
      </c>
      <c r="K62" s="51" t="s">
        <v>112</v>
      </c>
      <c r="L62" s="51" t="s">
        <v>112</v>
      </c>
      <c r="M62" s="1">
        <v>2029214</v>
      </c>
      <c r="N62" s="52" t="s">
        <v>1074</v>
      </c>
      <c r="O62" s="55">
        <f t="shared" si="64"/>
        <v>42485</v>
      </c>
      <c r="P62" s="55">
        <f>DATE(2020,6,30)</f>
        <v>44012</v>
      </c>
      <c r="Q62" s="51">
        <v>3751</v>
      </c>
      <c r="S62" s="51">
        <v>2</v>
      </c>
      <c r="U62" s="1">
        <f t="shared" si="31"/>
        <v>1528</v>
      </c>
      <c r="V62" s="31">
        <f t="shared" si="32"/>
        <v>2.454842931937173</v>
      </c>
      <c r="W62" s="31">
        <f t="shared" si="33"/>
        <v>896.0176701570681</v>
      </c>
      <c r="X62" s="31">
        <f t="shared" si="34"/>
        <v>1.1200220876963352</v>
      </c>
      <c r="AA62" s="32">
        <f t="shared" si="35"/>
        <v>42552</v>
      </c>
      <c r="AB62" s="32">
        <f t="shared" si="36"/>
        <v>42735</v>
      </c>
      <c r="AC62" s="52">
        <v>34</v>
      </c>
      <c r="AD62" s="1">
        <f t="shared" si="37"/>
        <v>184</v>
      </c>
      <c r="AE62" s="1">
        <f t="shared" si="38"/>
        <v>0</v>
      </c>
      <c r="AF62" s="1">
        <f t="shared" si="39"/>
        <v>0</v>
      </c>
      <c r="AG62" s="1">
        <f t="shared" si="40"/>
        <v>0</v>
      </c>
      <c r="AH62" s="1">
        <f t="shared" si="41"/>
        <v>0</v>
      </c>
      <c r="AI62" s="23">
        <f t="shared" si="42"/>
        <v>1</v>
      </c>
      <c r="AJ62" s="23">
        <f t="shared" si="43"/>
        <v>1.1200220876963352</v>
      </c>
      <c r="AK62" s="23">
        <f t="shared" si="44"/>
        <v>38.080750981675394</v>
      </c>
      <c r="AL62" s="23">
        <f t="shared" si="45"/>
        <v>76.161501963350787</v>
      </c>
      <c r="AM62" s="23">
        <f t="shared" si="46"/>
        <v>0</v>
      </c>
      <c r="AN62" s="23">
        <f t="shared" si="47"/>
        <v>76.161501963350787</v>
      </c>
      <c r="AQ62" s="32">
        <f t="shared" si="48"/>
        <v>42736</v>
      </c>
      <c r="AR62" s="32">
        <f t="shared" si="49"/>
        <v>42916</v>
      </c>
      <c r="AS62" s="52">
        <v>34</v>
      </c>
      <c r="AT62" s="1">
        <f t="shared" si="50"/>
        <v>181</v>
      </c>
      <c r="AU62" s="1">
        <f t="shared" si="51"/>
        <v>0</v>
      </c>
      <c r="AV62" s="1">
        <f t="shared" si="52"/>
        <v>0</v>
      </c>
      <c r="AW62" s="1">
        <f t="shared" si="53"/>
        <v>0</v>
      </c>
      <c r="AX62" s="1">
        <f t="shared" si="54"/>
        <v>0</v>
      </c>
      <c r="AY62" s="23">
        <f t="shared" si="55"/>
        <v>1</v>
      </c>
      <c r="AZ62" s="23">
        <f t="shared" si="56"/>
        <v>1.1200220876963352</v>
      </c>
      <c r="BA62" s="23">
        <f t="shared" si="57"/>
        <v>38.080750981675394</v>
      </c>
      <c r="BB62" s="23">
        <f t="shared" si="58"/>
        <v>76.161501963350787</v>
      </c>
      <c r="BC62" s="23">
        <f t="shared" si="59"/>
        <v>0</v>
      </c>
      <c r="BD62" s="23">
        <f t="shared" si="60"/>
        <v>76.161501963350787</v>
      </c>
    </row>
    <row r="63" spans="1:56">
      <c r="A63" s="1" t="s">
        <v>20</v>
      </c>
      <c r="B63" s="1" t="s">
        <v>55</v>
      </c>
      <c r="C63" s="1" t="s">
        <v>22</v>
      </c>
      <c r="D63" s="1" t="s">
        <v>56</v>
      </c>
      <c r="E63" s="51" t="s">
        <v>107</v>
      </c>
      <c r="F63" s="51" t="s">
        <v>108</v>
      </c>
      <c r="G63" s="51" t="s">
        <v>109</v>
      </c>
      <c r="H63" s="1" t="s">
        <v>275</v>
      </c>
      <c r="I63" s="1" t="s">
        <v>128</v>
      </c>
      <c r="J63" s="51" t="s">
        <v>112</v>
      </c>
      <c r="K63" s="51" t="s">
        <v>112</v>
      </c>
      <c r="L63" s="51" t="s">
        <v>112</v>
      </c>
      <c r="M63" s="1">
        <v>2029215</v>
      </c>
      <c r="N63" s="52" t="s">
        <v>1075</v>
      </c>
      <c r="O63" s="55">
        <f t="shared" si="64"/>
        <v>42485</v>
      </c>
      <c r="P63" s="55">
        <f>DATE(2020,6,30)</f>
        <v>44012</v>
      </c>
      <c r="Q63" s="51">
        <v>4250</v>
      </c>
      <c r="S63" s="51">
        <v>2.5</v>
      </c>
      <c r="U63" s="1">
        <f t="shared" si="31"/>
        <v>1528</v>
      </c>
      <c r="V63" s="31">
        <f t="shared" si="32"/>
        <v>2.7814136125654452</v>
      </c>
      <c r="W63" s="31">
        <f t="shared" si="33"/>
        <v>1015.2159685863875</v>
      </c>
      <c r="X63" s="31">
        <f t="shared" si="34"/>
        <v>1.2690199607329844</v>
      </c>
      <c r="AA63" s="32">
        <f t="shared" si="35"/>
        <v>42552</v>
      </c>
      <c r="AB63" s="32">
        <f t="shared" si="36"/>
        <v>42735</v>
      </c>
      <c r="AC63" s="52">
        <v>36</v>
      </c>
      <c r="AD63" s="1">
        <f t="shared" si="37"/>
        <v>184</v>
      </c>
      <c r="AE63" s="1">
        <f t="shared" si="38"/>
        <v>0</v>
      </c>
      <c r="AF63" s="1">
        <f t="shared" si="39"/>
        <v>0</v>
      </c>
      <c r="AG63" s="1">
        <f t="shared" si="40"/>
        <v>0</v>
      </c>
      <c r="AH63" s="1">
        <f t="shared" si="41"/>
        <v>0</v>
      </c>
      <c r="AI63" s="23">
        <f t="shared" si="42"/>
        <v>1</v>
      </c>
      <c r="AJ63" s="23">
        <f t="shared" si="43"/>
        <v>1.2690199607329844</v>
      </c>
      <c r="AK63" s="23">
        <f t="shared" si="44"/>
        <v>45.68471858638744</v>
      </c>
      <c r="AL63" s="23">
        <f t="shared" si="45"/>
        <v>114.2117964659686</v>
      </c>
      <c r="AM63" s="23">
        <f t="shared" si="46"/>
        <v>0</v>
      </c>
      <c r="AN63" s="23">
        <f t="shared" si="47"/>
        <v>114.2117964659686</v>
      </c>
      <c r="AQ63" s="32">
        <f t="shared" si="48"/>
        <v>42736</v>
      </c>
      <c r="AR63" s="32">
        <f t="shared" si="49"/>
        <v>42916</v>
      </c>
      <c r="AS63" s="52">
        <v>34</v>
      </c>
      <c r="AT63" s="1">
        <f t="shared" si="50"/>
        <v>181</v>
      </c>
      <c r="AU63" s="1">
        <f t="shared" si="51"/>
        <v>0</v>
      </c>
      <c r="AV63" s="1">
        <f t="shared" si="52"/>
        <v>0</v>
      </c>
      <c r="AW63" s="1">
        <f t="shared" si="53"/>
        <v>0</v>
      </c>
      <c r="AX63" s="1">
        <f t="shared" si="54"/>
        <v>0</v>
      </c>
      <c r="AY63" s="23">
        <f t="shared" si="55"/>
        <v>1</v>
      </c>
      <c r="AZ63" s="23">
        <f t="shared" si="56"/>
        <v>1.2690199607329844</v>
      </c>
      <c r="BA63" s="23">
        <f t="shared" si="57"/>
        <v>43.146678664921467</v>
      </c>
      <c r="BB63" s="23">
        <f t="shared" si="58"/>
        <v>107.86669666230367</v>
      </c>
      <c r="BC63" s="23">
        <f t="shared" si="59"/>
        <v>0</v>
      </c>
      <c r="BD63" s="23">
        <f t="shared" si="60"/>
        <v>107.86669666230367</v>
      </c>
    </row>
    <row r="64" spans="1:56">
      <c r="A64" s="1" t="s">
        <v>20</v>
      </c>
      <c r="B64" s="1" t="s">
        <v>55</v>
      </c>
      <c r="C64" s="1" t="s">
        <v>22</v>
      </c>
      <c r="D64" s="1" t="s">
        <v>56</v>
      </c>
      <c r="E64" s="51" t="s">
        <v>107</v>
      </c>
      <c r="F64" s="51" t="s">
        <v>108</v>
      </c>
      <c r="G64" s="51" t="s">
        <v>109</v>
      </c>
      <c r="H64" s="1" t="s">
        <v>937</v>
      </c>
      <c r="I64" s="1" t="s">
        <v>111</v>
      </c>
      <c r="J64" s="51" t="s">
        <v>112</v>
      </c>
      <c r="K64" s="51" t="s">
        <v>112</v>
      </c>
      <c r="L64" s="51" t="s">
        <v>112</v>
      </c>
      <c r="M64" s="1">
        <v>2029216</v>
      </c>
      <c r="N64" s="52" t="s">
        <v>1076</v>
      </c>
      <c r="O64" s="55">
        <f t="shared" si="64"/>
        <v>42485</v>
      </c>
      <c r="P64" s="55">
        <f>DATE(2019,12,31)</f>
        <v>43830</v>
      </c>
      <c r="Q64" s="51">
        <v>3850</v>
      </c>
      <c r="S64" s="51">
        <v>1.5</v>
      </c>
      <c r="U64" s="1">
        <f t="shared" si="31"/>
        <v>1346</v>
      </c>
      <c r="V64" s="31">
        <f t="shared" si="32"/>
        <v>2.8603268945022289</v>
      </c>
      <c r="W64" s="31">
        <f t="shared" si="33"/>
        <v>1044.0193164933135</v>
      </c>
      <c r="X64" s="31">
        <f t="shared" si="34"/>
        <v>1.3050241456166418</v>
      </c>
      <c r="AA64" s="32">
        <f t="shared" si="35"/>
        <v>42552</v>
      </c>
      <c r="AB64" s="32">
        <f t="shared" si="36"/>
        <v>42735</v>
      </c>
      <c r="AC64" s="52">
        <v>35</v>
      </c>
      <c r="AD64" s="1">
        <f t="shared" si="37"/>
        <v>184</v>
      </c>
      <c r="AE64" s="1">
        <f t="shared" si="38"/>
        <v>0</v>
      </c>
      <c r="AF64" s="1">
        <f t="shared" si="39"/>
        <v>0</v>
      </c>
      <c r="AG64" s="1">
        <f t="shared" si="40"/>
        <v>0</v>
      </c>
      <c r="AH64" s="1">
        <f t="shared" si="41"/>
        <v>0</v>
      </c>
      <c r="AI64" s="23">
        <f t="shared" si="42"/>
        <v>1</v>
      </c>
      <c r="AJ64" s="23">
        <f t="shared" si="43"/>
        <v>1.3050241456166418</v>
      </c>
      <c r="AK64" s="23">
        <f t="shared" si="44"/>
        <v>45.675845096582464</v>
      </c>
      <c r="AL64" s="23">
        <f t="shared" si="45"/>
        <v>68.513767644873695</v>
      </c>
      <c r="AM64" s="23">
        <f t="shared" si="46"/>
        <v>0</v>
      </c>
      <c r="AN64" s="23">
        <f t="shared" si="47"/>
        <v>68.513767644873695</v>
      </c>
      <c r="AQ64" s="32">
        <f t="shared" si="48"/>
        <v>42736</v>
      </c>
      <c r="AR64" s="32">
        <f t="shared" si="49"/>
        <v>42916</v>
      </c>
      <c r="AS64" s="52">
        <v>34</v>
      </c>
      <c r="AT64" s="1">
        <f t="shared" si="50"/>
        <v>181</v>
      </c>
      <c r="AU64" s="1">
        <f t="shared" si="51"/>
        <v>0</v>
      </c>
      <c r="AV64" s="1">
        <f t="shared" si="52"/>
        <v>0</v>
      </c>
      <c r="AW64" s="1">
        <f t="shared" si="53"/>
        <v>0</v>
      </c>
      <c r="AX64" s="1">
        <f t="shared" si="54"/>
        <v>0</v>
      </c>
      <c r="AY64" s="23">
        <f t="shared" si="55"/>
        <v>1</v>
      </c>
      <c r="AZ64" s="23">
        <f t="shared" si="56"/>
        <v>1.3050241456166418</v>
      </c>
      <c r="BA64" s="23">
        <f t="shared" si="57"/>
        <v>44.370820950965822</v>
      </c>
      <c r="BB64" s="23">
        <f t="shared" si="58"/>
        <v>66.556231426448733</v>
      </c>
      <c r="BC64" s="23">
        <f t="shared" si="59"/>
        <v>0</v>
      </c>
      <c r="BD64" s="23">
        <f t="shared" si="60"/>
        <v>66.556231426448733</v>
      </c>
    </row>
    <row r="65" spans="1:56">
      <c r="A65" s="1" t="s">
        <v>20</v>
      </c>
      <c r="B65" s="1" t="s">
        <v>55</v>
      </c>
      <c r="C65" s="1" t="s">
        <v>22</v>
      </c>
      <c r="D65" s="1" t="s">
        <v>56</v>
      </c>
      <c r="E65" s="51" t="s">
        <v>107</v>
      </c>
      <c r="F65" s="51" t="s">
        <v>108</v>
      </c>
      <c r="G65" s="51" t="s">
        <v>109</v>
      </c>
      <c r="H65" s="1" t="s">
        <v>146</v>
      </c>
      <c r="I65" s="1" t="s">
        <v>147</v>
      </c>
      <c r="J65" s="51" t="s">
        <v>148</v>
      </c>
      <c r="K65" s="51" t="s">
        <v>148</v>
      </c>
      <c r="L65" s="51" t="s">
        <v>112</v>
      </c>
      <c r="M65" s="1">
        <v>2029217</v>
      </c>
      <c r="N65" s="52" t="s">
        <v>1077</v>
      </c>
      <c r="O65" s="55">
        <f t="shared" si="64"/>
        <v>42485</v>
      </c>
      <c r="P65" s="55">
        <f>DATE(2019,12,31)</f>
        <v>43830</v>
      </c>
      <c r="Q65" s="51">
        <v>2555</v>
      </c>
      <c r="S65" s="51">
        <v>2.5</v>
      </c>
      <c r="U65" s="1">
        <f t="shared" si="31"/>
        <v>1346</v>
      </c>
      <c r="V65" s="31">
        <f t="shared" si="32"/>
        <v>1.8982169390787518</v>
      </c>
      <c r="W65" s="31">
        <f t="shared" si="33"/>
        <v>692.84918276374435</v>
      </c>
      <c r="X65" s="31">
        <f t="shared" si="34"/>
        <v>0.8660614784546804</v>
      </c>
      <c r="AA65" s="32">
        <f t="shared" si="35"/>
        <v>42552</v>
      </c>
      <c r="AB65" s="32">
        <f t="shared" si="36"/>
        <v>42735</v>
      </c>
      <c r="AC65" s="52">
        <v>26</v>
      </c>
      <c r="AD65" s="1">
        <f t="shared" si="37"/>
        <v>184</v>
      </c>
      <c r="AE65" s="1">
        <f t="shared" si="38"/>
        <v>0</v>
      </c>
      <c r="AF65" s="1">
        <f t="shared" si="39"/>
        <v>0</v>
      </c>
      <c r="AG65" s="1">
        <f t="shared" si="40"/>
        <v>0</v>
      </c>
      <c r="AH65" s="1">
        <f t="shared" si="41"/>
        <v>0</v>
      </c>
      <c r="AI65" s="23">
        <f t="shared" si="42"/>
        <v>1</v>
      </c>
      <c r="AJ65" s="23">
        <f t="shared" si="43"/>
        <v>0.8660614784546804</v>
      </c>
      <c r="AK65" s="23">
        <f t="shared" si="44"/>
        <v>22.51759843982169</v>
      </c>
      <c r="AL65" s="23">
        <f t="shared" si="45"/>
        <v>56.293996099554221</v>
      </c>
      <c r="AM65" s="23">
        <f t="shared" si="46"/>
        <v>28.14699804977711</v>
      </c>
      <c r="AN65" s="23">
        <f t="shared" si="47"/>
        <v>84.440994149331331</v>
      </c>
      <c r="AQ65" s="32">
        <f t="shared" si="48"/>
        <v>42736</v>
      </c>
      <c r="AR65" s="32">
        <f t="shared" si="49"/>
        <v>42916</v>
      </c>
      <c r="AS65" s="52">
        <v>26</v>
      </c>
      <c r="AT65" s="1">
        <f t="shared" si="50"/>
        <v>181</v>
      </c>
      <c r="AU65" s="1">
        <f t="shared" si="51"/>
        <v>0</v>
      </c>
      <c r="AV65" s="1">
        <f t="shared" si="52"/>
        <v>0</v>
      </c>
      <c r="AW65" s="1">
        <f t="shared" si="53"/>
        <v>0</v>
      </c>
      <c r="AX65" s="1">
        <f t="shared" si="54"/>
        <v>0</v>
      </c>
      <c r="AY65" s="23">
        <f t="shared" si="55"/>
        <v>1</v>
      </c>
      <c r="AZ65" s="23">
        <f t="shared" si="56"/>
        <v>0.8660614784546804</v>
      </c>
      <c r="BA65" s="23">
        <f t="shared" si="57"/>
        <v>22.51759843982169</v>
      </c>
      <c r="BB65" s="23">
        <f t="shared" si="58"/>
        <v>56.293996099554221</v>
      </c>
      <c r="BC65" s="23">
        <f t="shared" si="59"/>
        <v>28.14699804977711</v>
      </c>
      <c r="BD65" s="23">
        <f t="shared" si="60"/>
        <v>84.440994149331331</v>
      </c>
    </row>
    <row r="66" spans="1:56">
      <c r="A66" s="1" t="s">
        <v>20</v>
      </c>
      <c r="B66" s="1" t="s">
        <v>55</v>
      </c>
      <c r="C66" s="1" t="s">
        <v>22</v>
      </c>
      <c r="D66" s="1" t="s">
        <v>56</v>
      </c>
      <c r="E66" s="51" t="s">
        <v>107</v>
      </c>
      <c r="F66" s="51" t="s">
        <v>294</v>
      </c>
      <c r="G66" s="51" t="s">
        <v>109</v>
      </c>
      <c r="H66" s="1" t="s">
        <v>1024</v>
      </c>
      <c r="I66" s="1" t="s">
        <v>111</v>
      </c>
      <c r="J66" s="51" t="s">
        <v>112</v>
      </c>
      <c r="K66" s="51" t="s">
        <v>112</v>
      </c>
      <c r="L66" s="51" t="s">
        <v>112</v>
      </c>
      <c r="M66" s="1">
        <v>2029218</v>
      </c>
      <c r="N66" s="52" t="s">
        <v>1078</v>
      </c>
      <c r="O66" s="55">
        <f t="shared" si="64"/>
        <v>42485</v>
      </c>
      <c r="P66" s="55">
        <f>DATE(2019,6,30)</f>
        <v>43646</v>
      </c>
      <c r="Q66" s="51">
        <v>2559</v>
      </c>
      <c r="S66" s="51">
        <v>2.5</v>
      </c>
      <c r="U66" s="1">
        <f t="shared" si="31"/>
        <v>1162</v>
      </c>
      <c r="V66" s="31">
        <f t="shared" si="32"/>
        <v>2.2022375215146299</v>
      </c>
      <c r="W66" s="31">
        <f t="shared" si="33"/>
        <v>803.81669535283993</v>
      </c>
      <c r="X66" s="31">
        <f t="shared" si="34"/>
        <v>1.00477086919105</v>
      </c>
      <c r="AA66" s="32">
        <f t="shared" si="35"/>
        <v>42552</v>
      </c>
      <c r="AB66" s="32">
        <f t="shared" si="36"/>
        <v>42735</v>
      </c>
      <c r="AC66" s="52">
        <v>30</v>
      </c>
      <c r="AD66" s="1">
        <f t="shared" si="37"/>
        <v>184</v>
      </c>
      <c r="AE66" s="1">
        <f t="shared" si="38"/>
        <v>0</v>
      </c>
      <c r="AF66" s="1">
        <f t="shared" si="39"/>
        <v>0</v>
      </c>
      <c r="AG66" s="1">
        <f t="shared" si="40"/>
        <v>0</v>
      </c>
      <c r="AH66" s="1">
        <f t="shared" si="41"/>
        <v>0</v>
      </c>
      <c r="AI66" s="23">
        <f t="shared" si="42"/>
        <v>1</v>
      </c>
      <c r="AJ66" s="23">
        <f t="shared" si="43"/>
        <v>1.00477086919105</v>
      </c>
      <c r="AK66" s="23">
        <f t="shared" si="44"/>
        <v>30.143126075731498</v>
      </c>
      <c r="AL66" s="23">
        <f t="shared" si="45"/>
        <v>75.357815189328747</v>
      </c>
      <c r="AM66" s="23">
        <f t="shared" si="46"/>
        <v>0</v>
      </c>
      <c r="AN66" s="23">
        <f t="shared" si="47"/>
        <v>75.357815189328747</v>
      </c>
      <c r="AQ66" s="32">
        <f t="shared" si="48"/>
        <v>42736</v>
      </c>
      <c r="AR66" s="32">
        <f t="shared" si="49"/>
        <v>42916</v>
      </c>
      <c r="AS66" s="52">
        <v>30</v>
      </c>
      <c r="AT66" s="1">
        <f t="shared" si="50"/>
        <v>181</v>
      </c>
      <c r="AU66" s="1">
        <f t="shared" si="51"/>
        <v>0</v>
      </c>
      <c r="AV66" s="1">
        <f t="shared" si="52"/>
        <v>0</v>
      </c>
      <c r="AW66" s="1">
        <f t="shared" si="53"/>
        <v>0</v>
      </c>
      <c r="AX66" s="1">
        <f t="shared" si="54"/>
        <v>0</v>
      </c>
      <c r="AY66" s="23">
        <f t="shared" si="55"/>
        <v>1</v>
      </c>
      <c r="AZ66" s="23">
        <f t="shared" si="56"/>
        <v>1.00477086919105</v>
      </c>
      <c r="BA66" s="23">
        <f t="shared" si="57"/>
        <v>30.143126075731498</v>
      </c>
      <c r="BB66" s="23">
        <f t="shared" si="58"/>
        <v>75.357815189328747</v>
      </c>
      <c r="BC66" s="23">
        <f t="shared" si="59"/>
        <v>0</v>
      </c>
      <c r="BD66" s="23">
        <f t="shared" si="60"/>
        <v>75.357815189328747</v>
      </c>
    </row>
    <row r="67" spans="1:56">
      <c r="A67" s="1" t="s">
        <v>20</v>
      </c>
      <c r="B67" s="1" t="s">
        <v>55</v>
      </c>
      <c r="C67" s="1" t="s">
        <v>22</v>
      </c>
      <c r="D67" s="1" t="s">
        <v>56</v>
      </c>
      <c r="E67" s="51" t="s">
        <v>107</v>
      </c>
      <c r="F67" s="51" t="s">
        <v>294</v>
      </c>
      <c r="G67" s="51" t="s">
        <v>109</v>
      </c>
      <c r="H67" s="1" t="s">
        <v>297</v>
      </c>
      <c r="I67" s="1" t="s">
        <v>147</v>
      </c>
      <c r="J67" s="51" t="s">
        <v>112</v>
      </c>
      <c r="K67" s="51" t="s">
        <v>112</v>
      </c>
      <c r="L67" s="51" t="s">
        <v>112</v>
      </c>
      <c r="M67" s="1">
        <v>2029219</v>
      </c>
      <c r="N67" s="52" t="s">
        <v>1079</v>
      </c>
      <c r="O67" s="55">
        <f t="shared" si="64"/>
        <v>42485</v>
      </c>
      <c r="P67" s="55">
        <f>DATE(2019,6,30)</f>
        <v>43646</v>
      </c>
      <c r="Q67" s="51">
        <v>2925</v>
      </c>
      <c r="S67" s="51">
        <v>2</v>
      </c>
      <c r="U67" s="1">
        <f t="shared" si="31"/>
        <v>1162</v>
      </c>
      <c r="V67" s="31">
        <f t="shared" si="32"/>
        <v>2.5172117039586919</v>
      </c>
      <c r="W67" s="31">
        <f t="shared" si="33"/>
        <v>918.78227194492251</v>
      </c>
      <c r="X67" s="31">
        <f t="shared" si="34"/>
        <v>1.148477839931153</v>
      </c>
      <c r="AA67" s="32">
        <f t="shared" si="35"/>
        <v>42552</v>
      </c>
      <c r="AB67" s="32">
        <f t="shared" si="36"/>
        <v>42735</v>
      </c>
      <c r="AC67" s="52">
        <v>39</v>
      </c>
      <c r="AD67" s="1">
        <f t="shared" si="37"/>
        <v>184</v>
      </c>
      <c r="AE67" s="1">
        <f t="shared" si="38"/>
        <v>0</v>
      </c>
      <c r="AF67" s="1">
        <f t="shared" si="39"/>
        <v>0</v>
      </c>
      <c r="AG67" s="1">
        <f t="shared" si="40"/>
        <v>0</v>
      </c>
      <c r="AH67" s="1">
        <f t="shared" si="41"/>
        <v>0</v>
      </c>
      <c r="AI67" s="23">
        <f t="shared" si="42"/>
        <v>1</v>
      </c>
      <c r="AJ67" s="23">
        <f t="shared" si="43"/>
        <v>1.148477839931153</v>
      </c>
      <c r="AK67" s="23">
        <f t="shared" si="44"/>
        <v>44.790635757314966</v>
      </c>
      <c r="AL67" s="23">
        <f t="shared" si="45"/>
        <v>89.581271514629933</v>
      </c>
      <c r="AM67" s="23">
        <f t="shared" si="46"/>
        <v>0</v>
      </c>
      <c r="AN67" s="23">
        <f t="shared" si="47"/>
        <v>89.581271514629933</v>
      </c>
      <c r="AQ67" s="32">
        <f t="shared" si="48"/>
        <v>42736</v>
      </c>
      <c r="AR67" s="32">
        <f t="shared" si="49"/>
        <v>42916</v>
      </c>
      <c r="AS67" s="52">
        <v>37</v>
      </c>
      <c r="AT67" s="1">
        <f t="shared" si="50"/>
        <v>181</v>
      </c>
      <c r="AU67" s="1">
        <f t="shared" si="51"/>
        <v>0</v>
      </c>
      <c r="AV67" s="1">
        <f t="shared" si="52"/>
        <v>0</v>
      </c>
      <c r="AW67" s="1">
        <f t="shared" si="53"/>
        <v>0</v>
      </c>
      <c r="AX67" s="1">
        <f t="shared" si="54"/>
        <v>0</v>
      </c>
      <c r="AY67" s="23">
        <f t="shared" si="55"/>
        <v>1</v>
      </c>
      <c r="AZ67" s="23">
        <f t="shared" si="56"/>
        <v>1.148477839931153</v>
      </c>
      <c r="BA67" s="23">
        <f t="shared" si="57"/>
        <v>42.493680077452666</v>
      </c>
      <c r="BB67" s="23">
        <f t="shared" si="58"/>
        <v>84.987360154905332</v>
      </c>
      <c r="BC67" s="23">
        <f t="shared" si="59"/>
        <v>0</v>
      </c>
      <c r="BD67" s="23">
        <f t="shared" si="60"/>
        <v>84.987360154905332</v>
      </c>
    </row>
    <row r="68" spans="1:56">
      <c r="A68" s="1" t="s">
        <v>20</v>
      </c>
      <c r="B68" s="1" t="s">
        <v>55</v>
      </c>
      <c r="C68" s="1" t="s">
        <v>22</v>
      </c>
      <c r="D68" s="1" t="s">
        <v>56</v>
      </c>
      <c r="E68" s="51" t="s">
        <v>107</v>
      </c>
      <c r="F68" s="51" t="s">
        <v>114</v>
      </c>
      <c r="G68" s="51" t="s">
        <v>109</v>
      </c>
      <c r="H68" s="1" t="s">
        <v>1044</v>
      </c>
      <c r="I68" s="1" t="s">
        <v>116</v>
      </c>
      <c r="J68" s="51" t="s">
        <v>112</v>
      </c>
      <c r="K68" s="51" t="s">
        <v>112</v>
      </c>
      <c r="L68" s="51" t="s">
        <v>112</v>
      </c>
      <c r="M68" s="1">
        <v>2029220</v>
      </c>
      <c r="N68" s="52" t="s">
        <v>1080</v>
      </c>
      <c r="O68" s="55">
        <f t="shared" si="64"/>
        <v>42485</v>
      </c>
      <c r="P68" s="55">
        <f>DATE(2019,6,30)</f>
        <v>43646</v>
      </c>
      <c r="Q68" s="51">
        <v>3400</v>
      </c>
      <c r="S68" s="51">
        <v>2.5</v>
      </c>
      <c r="U68" s="1">
        <f t="shared" ref="U68:U80" si="65">P68-O68+1</f>
        <v>1162</v>
      </c>
      <c r="V68" s="31">
        <f t="shared" ref="V68:V80" si="66">Q68/U68</f>
        <v>2.9259896729776247</v>
      </c>
      <c r="W68" s="31">
        <f t="shared" ref="W68:W80" si="67">IF(U68&gt;365,V68*365,Q68)</f>
        <v>1067.9862306368329</v>
      </c>
      <c r="X68" s="31">
        <f t="shared" ref="X68:X80" si="68">IF(U68&gt;365,W68/800,Q68/800)</f>
        <v>1.3349827882960412</v>
      </c>
      <c r="AA68" s="32">
        <f t="shared" ref="AA68:AA80" si="69">DATE(2016,7,1)</f>
        <v>42552</v>
      </c>
      <c r="AB68" s="32">
        <f t="shared" ref="AB68:AB80" si="70">DATE(2016,12,31)</f>
        <v>42735</v>
      </c>
      <c r="AC68" s="52">
        <v>40</v>
      </c>
      <c r="AD68" s="1">
        <f t="shared" ref="AD68:AD80" si="71">IF(AND(O68&lt;AA68,P68&gt;AB68),AB68-AA68+1,0)</f>
        <v>184</v>
      </c>
      <c r="AE68" s="1">
        <f t="shared" ref="AE68:AE80" si="72">IF(AND(O68&gt;=AA68,P68&gt;AB68,O68&lt;AB68),AB68-O68+1,0)</f>
        <v>0</v>
      </c>
      <c r="AF68" s="1">
        <f t="shared" ref="AF68:AF80" si="73">IF(AND(O68&lt;AA68,P68&lt;=AB68,P68&gt;=AA68),P68-AA68+1,0)</f>
        <v>0</v>
      </c>
      <c r="AG68" s="1">
        <f t="shared" ref="AG68:AG80" si="74">IF(AND(O68&gt;=AA68,P68&lt;=AB68),P68-O68+1,0)</f>
        <v>0</v>
      </c>
      <c r="AH68" s="1">
        <f t="shared" ref="AH68:AH80" si="75">IF(AND(O68&lt;AA68,P68&lt;AA68),(AB68-AA68+1)/2,0)</f>
        <v>0</v>
      </c>
      <c r="AI68" s="23">
        <f t="shared" ref="AI68:AI80" si="76">SUM(AD68:AH68)/(AB68-AA68+1)</f>
        <v>1</v>
      </c>
      <c r="AJ68" s="23">
        <f t="shared" ref="AJ68:AJ80" si="77">X68*AI68</f>
        <v>1.3349827882960412</v>
      </c>
      <c r="AK68" s="23">
        <f t="shared" ref="AK68:AK80" si="78">IF(AH68=0,AJ68*AC68,IF(AA68-P68&gt;1095,0,AJ68*(AC68/2)))</f>
        <v>53.399311531841647</v>
      </c>
      <c r="AL68" s="23">
        <f t="shared" ref="AL68:AL80" si="79">AK68*S68</f>
        <v>133.49827882960412</v>
      </c>
      <c r="AM68" s="23">
        <f t="shared" ref="AM68:AM80" si="80">IF(J68="SIM",AL68*50%,0)</f>
        <v>0</v>
      </c>
      <c r="AN68" s="23">
        <f t="shared" ref="AN68:AN80" si="81">AL68+AM68</f>
        <v>133.49827882960412</v>
      </c>
      <c r="AQ68" s="32">
        <f t="shared" ref="AQ68:AQ80" si="82">DATE(2017,1,1)</f>
        <v>42736</v>
      </c>
      <c r="AR68" s="32">
        <f t="shared" ref="AR68:AR80" si="83">DATE(2017,6,30)</f>
        <v>42916</v>
      </c>
      <c r="AS68" s="52">
        <v>40</v>
      </c>
      <c r="AT68" s="1">
        <f t="shared" ref="AT68:AT80" si="84">IF(AND(O68&lt;AQ68,P68&gt;AR68),AR68-AQ68+1,0)</f>
        <v>181</v>
      </c>
      <c r="AU68" s="1">
        <f t="shared" ref="AU68:AU80" si="85">IF(AND(O68&gt;=AQ68,P68&gt;AR68,O68&lt;AR68),AR68-O68+1,0)</f>
        <v>0</v>
      </c>
      <c r="AV68" s="1">
        <f t="shared" ref="AV68:AV80" si="86">IF(AND(O68&lt;AQ68,P68&lt;=AR68,P68&gt;=AQ68),P68-AQ68+1,0)</f>
        <v>0</v>
      </c>
      <c r="AW68" s="1">
        <f t="shared" ref="AW68:AW80" si="87">IF(AND(O68&gt;=AQ68,P68&lt;=AR68),P68-O68+1,0)</f>
        <v>0</v>
      </c>
      <c r="AX68" s="1">
        <f t="shared" ref="AX68:AX80" si="88">IF(AND(O68&lt;AQ68,P68&lt;AQ68),(AR68-AQ68+1)/2,0)</f>
        <v>0</v>
      </c>
      <c r="AY68" s="23">
        <f t="shared" ref="AY68:AY80" si="89">SUM(AT68:AX68)/(AR68-AQ68+1)</f>
        <v>1</v>
      </c>
      <c r="AZ68" s="23">
        <f t="shared" ref="AZ68:AZ80" si="90">X68*AY68</f>
        <v>1.3349827882960412</v>
      </c>
      <c r="BA68" s="23">
        <f t="shared" ref="BA68:BA80" si="91">IF(AX68=0,AZ68*AS68,IF(AQ68-P68&gt;1095,0,AZ68*(AS68/2)))</f>
        <v>53.399311531841647</v>
      </c>
      <c r="BB68" s="23">
        <f t="shared" ref="BB68:BB80" si="92">BA68*S68</f>
        <v>133.49827882960412</v>
      </c>
      <c r="BC68" s="23">
        <f t="shared" ref="BC68:BC80" si="93">IF(J68="SIM",BB68*50%,0)</f>
        <v>0</v>
      </c>
      <c r="BD68" s="23">
        <f t="shared" ref="BD68:BD80" si="94">BB68+BC68</f>
        <v>133.49827882960412</v>
      </c>
    </row>
    <row r="69" spans="1:56">
      <c r="A69" s="1" t="s">
        <v>20</v>
      </c>
      <c r="B69" s="1" t="s">
        <v>55</v>
      </c>
      <c r="C69" s="1" t="s">
        <v>22</v>
      </c>
      <c r="D69" s="1" t="s">
        <v>56</v>
      </c>
      <c r="E69" s="51" t="s">
        <v>107</v>
      </c>
      <c r="F69" s="51" t="s">
        <v>114</v>
      </c>
      <c r="G69" s="51" t="s">
        <v>109</v>
      </c>
      <c r="H69" s="1" t="s">
        <v>1044</v>
      </c>
      <c r="I69" s="1" t="s">
        <v>116</v>
      </c>
      <c r="J69" s="51" t="s">
        <v>112</v>
      </c>
      <c r="K69" s="51" t="s">
        <v>112</v>
      </c>
      <c r="L69" s="51" t="s">
        <v>112</v>
      </c>
      <c r="M69" s="1">
        <v>2160112</v>
      </c>
      <c r="N69" s="52" t="s">
        <v>1081</v>
      </c>
      <c r="O69" s="55">
        <f>DATE(2017,5,22)</f>
        <v>42877</v>
      </c>
      <c r="P69" s="55">
        <f>DATE(2020,11,22)</f>
        <v>44157</v>
      </c>
      <c r="Q69" s="51">
        <v>4009</v>
      </c>
      <c r="S69" s="51">
        <v>2.5</v>
      </c>
      <c r="U69" s="1">
        <f t="shared" si="65"/>
        <v>1281</v>
      </c>
      <c r="V69" s="31">
        <f t="shared" si="66"/>
        <v>3.1295862607338019</v>
      </c>
      <c r="W69" s="31">
        <f t="shared" si="67"/>
        <v>1142.2989851678376</v>
      </c>
      <c r="X69" s="31">
        <f t="shared" si="68"/>
        <v>1.4278737314597969</v>
      </c>
      <c r="AA69" s="32">
        <f t="shared" si="69"/>
        <v>42552</v>
      </c>
      <c r="AB69" s="32">
        <f t="shared" si="70"/>
        <v>42735</v>
      </c>
      <c r="AC69" s="1">
        <v>0</v>
      </c>
      <c r="AD69" s="1">
        <f t="shared" si="71"/>
        <v>0</v>
      </c>
      <c r="AE69" s="1">
        <f t="shared" si="72"/>
        <v>0</v>
      </c>
      <c r="AF69" s="1">
        <f t="shared" si="73"/>
        <v>0</v>
      </c>
      <c r="AG69" s="1">
        <f t="shared" si="74"/>
        <v>0</v>
      </c>
      <c r="AH69" s="1">
        <f t="shared" si="75"/>
        <v>0</v>
      </c>
      <c r="AI69" s="23">
        <f t="shared" si="76"/>
        <v>0</v>
      </c>
      <c r="AJ69" s="23">
        <f t="shared" si="77"/>
        <v>0</v>
      </c>
      <c r="AK69" s="23">
        <f t="shared" si="78"/>
        <v>0</v>
      </c>
      <c r="AL69" s="23">
        <f t="shared" si="79"/>
        <v>0</v>
      </c>
      <c r="AM69" s="23">
        <f t="shared" si="80"/>
        <v>0</v>
      </c>
      <c r="AN69" s="23">
        <f t="shared" si="81"/>
        <v>0</v>
      </c>
      <c r="AQ69" s="32">
        <f t="shared" si="82"/>
        <v>42736</v>
      </c>
      <c r="AR69" s="32">
        <f t="shared" si="83"/>
        <v>42916</v>
      </c>
      <c r="AS69" s="52">
        <v>38</v>
      </c>
      <c r="AT69" s="1">
        <f t="shared" si="84"/>
        <v>0</v>
      </c>
      <c r="AU69" s="1">
        <f t="shared" si="85"/>
        <v>40</v>
      </c>
      <c r="AV69" s="1">
        <f t="shared" si="86"/>
        <v>0</v>
      </c>
      <c r="AW69" s="1">
        <f t="shared" si="87"/>
        <v>0</v>
      </c>
      <c r="AX69" s="1">
        <f t="shared" si="88"/>
        <v>0</v>
      </c>
      <c r="AY69" s="23">
        <f t="shared" si="89"/>
        <v>0.22099447513812154</v>
      </c>
      <c r="AZ69" s="23">
        <f t="shared" si="90"/>
        <v>0.3155522058474689</v>
      </c>
      <c r="BA69" s="23">
        <f t="shared" si="91"/>
        <v>11.990983822203818</v>
      </c>
      <c r="BB69" s="23">
        <f t="shared" si="92"/>
        <v>29.977459555509544</v>
      </c>
      <c r="BC69" s="23">
        <f t="shared" si="93"/>
        <v>0</v>
      </c>
      <c r="BD69" s="23">
        <f t="shared" si="94"/>
        <v>29.977459555509544</v>
      </c>
    </row>
    <row r="70" spans="1:56">
      <c r="A70" s="1" t="s">
        <v>20</v>
      </c>
      <c r="B70" s="1" t="s">
        <v>55</v>
      </c>
      <c r="C70" s="1" t="s">
        <v>22</v>
      </c>
      <c r="D70" s="1" t="s">
        <v>56</v>
      </c>
      <c r="E70" s="51" t="s">
        <v>107</v>
      </c>
      <c r="F70" s="51" t="s">
        <v>294</v>
      </c>
      <c r="G70" s="51" t="s">
        <v>109</v>
      </c>
      <c r="H70" s="1" t="s">
        <v>297</v>
      </c>
      <c r="I70" s="1" t="s">
        <v>147</v>
      </c>
      <c r="J70" s="51" t="s">
        <v>112</v>
      </c>
      <c r="K70" s="51" t="s">
        <v>112</v>
      </c>
      <c r="L70" s="51" t="s">
        <v>112</v>
      </c>
      <c r="M70" s="1">
        <v>2160113</v>
      </c>
      <c r="N70" s="52" t="s">
        <v>1082</v>
      </c>
      <c r="O70" s="55">
        <f>DATE(2017,5,22)</f>
        <v>42877</v>
      </c>
      <c r="P70" s="55">
        <f>DATE(2019,11,22)</f>
        <v>43791</v>
      </c>
      <c r="Q70" s="51">
        <v>2395</v>
      </c>
      <c r="S70" s="51">
        <v>2</v>
      </c>
      <c r="U70" s="1">
        <f t="shared" si="65"/>
        <v>915</v>
      </c>
      <c r="V70" s="31">
        <f t="shared" si="66"/>
        <v>2.6174863387978142</v>
      </c>
      <c r="W70" s="31">
        <f t="shared" si="67"/>
        <v>955.38251366120221</v>
      </c>
      <c r="X70" s="31">
        <f t="shared" si="68"/>
        <v>1.1942281420765029</v>
      </c>
      <c r="AA70" s="32">
        <f t="shared" si="69"/>
        <v>42552</v>
      </c>
      <c r="AB70" s="32">
        <f t="shared" si="70"/>
        <v>42735</v>
      </c>
      <c r="AC70" s="1">
        <v>0</v>
      </c>
      <c r="AD70" s="1">
        <f t="shared" si="71"/>
        <v>0</v>
      </c>
      <c r="AE70" s="1">
        <f t="shared" si="72"/>
        <v>0</v>
      </c>
      <c r="AF70" s="1">
        <f t="shared" si="73"/>
        <v>0</v>
      </c>
      <c r="AG70" s="1">
        <f t="shared" si="74"/>
        <v>0</v>
      </c>
      <c r="AH70" s="1">
        <f t="shared" si="75"/>
        <v>0</v>
      </c>
      <c r="AI70" s="23">
        <f t="shared" si="76"/>
        <v>0</v>
      </c>
      <c r="AJ70" s="23">
        <f t="shared" si="77"/>
        <v>0</v>
      </c>
      <c r="AK70" s="23">
        <f t="shared" si="78"/>
        <v>0</v>
      </c>
      <c r="AL70" s="23">
        <f t="shared" si="79"/>
        <v>0</v>
      </c>
      <c r="AM70" s="23">
        <f t="shared" si="80"/>
        <v>0</v>
      </c>
      <c r="AN70" s="23">
        <f t="shared" si="81"/>
        <v>0</v>
      </c>
      <c r="AQ70" s="32">
        <f t="shared" si="82"/>
        <v>42736</v>
      </c>
      <c r="AR70" s="32">
        <f t="shared" si="83"/>
        <v>42916</v>
      </c>
      <c r="AS70" s="52">
        <v>36</v>
      </c>
      <c r="AT70" s="1">
        <f t="shared" si="84"/>
        <v>0</v>
      </c>
      <c r="AU70" s="1">
        <f t="shared" si="85"/>
        <v>40</v>
      </c>
      <c r="AV70" s="1">
        <f t="shared" si="86"/>
        <v>0</v>
      </c>
      <c r="AW70" s="1">
        <f t="shared" si="87"/>
        <v>0</v>
      </c>
      <c r="AX70" s="1">
        <f t="shared" si="88"/>
        <v>0</v>
      </c>
      <c r="AY70" s="23">
        <f t="shared" si="89"/>
        <v>0.22099447513812154</v>
      </c>
      <c r="AZ70" s="23">
        <f t="shared" si="90"/>
        <v>0.26391782145337078</v>
      </c>
      <c r="BA70" s="23">
        <f t="shared" si="91"/>
        <v>9.5010415723213484</v>
      </c>
      <c r="BB70" s="23">
        <f t="shared" si="92"/>
        <v>19.002083144642697</v>
      </c>
      <c r="BC70" s="23">
        <f t="shared" si="93"/>
        <v>0</v>
      </c>
      <c r="BD70" s="23">
        <f t="shared" si="94"/>
        <v>19.002083144642697</v>
      </c>
    </row>
    <row r="71" spans="1:56">
      <c r="A71" s="1" t="s">
        <v>20</v>
      </c>
      <c r="B71" s="1" t="s">
        <v>55</v>
      </c>
      <c r="C71" s="1" t="s">
        <v>22</v>
      </c>
      <c r="D71" s="1" t="s">
        <v>56</v>
      </c>
      <c r="E71" s="51" t="s">
        <v>107</v>
      </c>
      <c r="F71" s="51" t="s">
        <v>108</v>
      </c>
      <c r="G71" s="51" t="s">
        <v>109</v>
      </c>
      <c r="H71" s="1" t="s">
        <v>124</v>
      </c>
      <c r="I71" s="1" t="s">
        <v>125</v>
      </c>
      <c r="J71" s="51" t="s">
        <v>112</v>
      </c>
      <c r="K71" s="51" t="s">
        <v>112</v>
      </c>
      <c r="L71" s="51" t="s">
        <v>112</v>
      </c>
      <c r="M71" s="1">
        <v>2165042</v>
      </c>
      <c r="N71" s="52" t="s">
        <v>1083</v>
      </c>
      <c r="O71" s="55">
        <f t="shared" ref="O71:O79" si="95">DATE(2017,5,29)</f>
        <v>42884</v>
      </c>
      <c r="P71" s="55">
        <f>DATE(2019,11,29)</f>
        <v>43798</v>
      </c>
      <c r="Q71" s="51">
        <v>4091</v>
      </c>
      <c r="S71" s="51">
        <v>2.5</v>
      </c>
      <c r="U71" s="1">
        <f t="shared" si="65"/>
        <v>915</v>
      </c>
      <c r="V71" s="31">
        <f t="shared" si="66"/>
        <v>4.47103825136612</v>
      </c>
      <c r="W71" s="31">
        <f t="shared" si="67"/>
        <v>1631.9289617486338</v>
      </c>
      <c r="X71" s="31">
        <f t="shared" si="68"/>
        <v>2.0399112021857921</v>
      </c>
      <c r="AA71" s="32">
        <f t="shared" si="69"/>
        <v>42552</v>
      </c>
      <c r="AB71" s="32">
        <f t="shared" si="70"/>
        <v>42735</v>
      </c>
      <c r="AC71" s="1">
        <v>0</v>
      </c>
      <c r="AD71" s="1">
        <f t="shared" si="71"/>
        <v>0</v>
      </c>
      <c r="AE71" s="1">
        <f t="shared" si="72"/>
        <v>0</v>
      </c>
      <c r="AF71" s="1">
        <f t="shared" si="73"/>
        <v>0</v>
      </c>
      <c r="AG71" s="1">
        <f t="shared" si="74"/>
        <v>0</v>
      </c>
      <c r="AH71" s="1">
        <f t="shared" si="75"/>
        <v>0</v>
      </c>
      <c r="AI71" s="23">
        <f t="shared" si="76"/>
        <v>0</v>
      </c>
      <c r="AJ71" s="23">
        <f t="shared" si="77"/>
        <v>0</v>
      </c>
      <c r="AK71" s="23">
        <f t="shared" si="78"/>
        <v>0</v>
      </c>
      <c r="AL71" s="23">
        <f t="shared" si="79"/>
        <v>0</v>
      </c>
      <c r="AM71" s="23">
        <f t="shared" si="80"/>
        <v>0</v>
      </c>
      <c r="AN71" s="23">
        <f t="shared" si="81"/>
        <v>0</v>
      </c>
      <c r="AQ71" s="32">
        <f t="shared" si="82"/>
        <v>42736</v>
      </c>
      <c r="AR71" s="32">
        <f t="shared" si="83"/>
        <v>42916</v>
      </c>
      <c r="AS71" s="52">
        <v>60</v>
      </c>
      <c r="AT71" s="1">
        <f t="shared" si="84"/>
        <v>0</v>
      </c>
      <c r="AU71" s="1">
        <f t="shared" si="85"/>
        <v>33</v>
      </c>
      <c r="AV71" s="1">
        <f t="shared" si="86"/>
        <v>0</v>
      </c>
      <c r="AW71" s="1">
        <f t="shared" si="87"/>
        <v>0</v>
      </c>
      <c r="AX71" s="1">
        <f t="shared" si="88"/>
        <v>0</v>
      </c>
      <c r="AY71" s="23">
        <f t="shared" si="89"/>
        <v>0.18232044198895028</v>
      </c>
      <c r="AZ71" s="23">
        <f t="shared" si="90"/>
        <v>0.37191751200072454</v>
      </c>
      <c r="BA71" s="23">
        <f t="shared" si="91"/>
        <v>22.315050720043473</v>
      </c>
      <c r="BB71" s="23">
        <f t="shared" si="92"/>
        <v>55.787626800108683</v>
      </c>
      <c r="BC71" s="23">
        <f t="shared" si="93"/>
        <v>0</v>
      </c>
      <c r="BD71" s="23">
        <f t="shared" si="94"/>
        <v>55.787626800108683</v>
      </c>
    </row>
    <row r="72" spans="1:56">
      <c r="A72" s="1" t="s">
        <v>20</v>
      </c>
      <c r="B72" s="1" t="s">
        <v>55</v>
      </c>
      <c r="C72" s="1" t="s">
        <v>22</v>
      </c>
      <c r="D72" s="1" t="s">
        <v>56</v>
      </c>
      <c r="E72" s="51" t="s">
        <v>107</v>
      </c>
      <c r="F72" s="51" t="s">
        <v>108</v>
      </c>
      <c r="G72" s="51" t="s">
        <v>109</v>
      </c>
      <c r="H72" s="1" t="s">
        <v>275</v>
      </c>
      <c r="I72" s="1" t="s">
        <v>128</v>
      </c>
      <c r="J72" s="51" t="s">
        <v>112</v>
      </c>
      <c r="K72" s="51" t="s">
        <v>112</v>
      </c>
      <c r="L72" s="51" t="s">
        <v>112</v>
      </c>
      <c r="M72" s="1">
        <v>2165058</v>
      </c>
      <c r="N72" s="52" t="s">
        <v>1084</v>
      </c>
      <c r="O72" s="55">
        <f t="shared" si="95"/>
        <v>42884</v>
      </c>
      <c r="P72" s="55">
        <f>DATE(2020,11,29)</f>
        <v>44164</v>
      </c>
      <c r="Q72" s="51">
        <v>4311</v>
      </c>
      <c r="S72" s="51">
        <v>2.5</v>
      </c>
      <c r="U72" s="1">
        <f t="shared" si="65"/>
        <v>1281</v>
      </c>
      <c r="V72" s="31">
        <f t="shared" si="66"/>
        <v>3.3653395784543325</v>
      </c>
      <c r="W72" s="31">
        <f t="shared" si="67"/>
        <v>1228.3489461358313</v>
      </c>
      <c r="X72" s="31">
        <f t="shared" si="68"/>
        <v>1.5354361826697891</v>
      </c>
      <c r="AA72" s="32">
        <f t="shared" si="69"/>
        <v>42552</v>
      </c>
      <c r="AB72" s="32">
        <f t="shared" si="70"/>
        <v>42735</v>
      </c>
      <c r="AC72" s="1">
        <v>0</v>
      </c>
      <c r="AD72" s="1">
        <f t="shared" si="71"/>
        <v>0</v>
      </c>
      <c r="AE72" s="1">
        <f t="shared" si="72"/>
        <v>0</v>
      </c>
      <c r="AF72" s="1">
        <f t="shared" si="73"/>
        <v>0</v>
      </c>
      <c r="AG72" s="1">
        <f t="shared" si="74"/>
        <v>0</v>
      </c>
      <c r="AH72" s="1">
        <f t="shared" si="75"/>
        <v>0</v>
      </c>
      <c r="AI72" s="23">
        <f t="shared" si="76"/>
        <v>0</v>
      </c>
      <c r="AJ72" s="23">
        <f t="shared" si="77"/>
        <v>0</v>
      </c>
      <c r="AK72" s="23">
        <f t="shared" si="78"/>
        <v>0</v>
      </c>
      <c r="AL72" s="23">
        <f t="shared" si="79"/>
        <v>0</v>
      </c>
      <c r="AM72" s="23">
        <f t="shared" si="80"/>
        <v>0</v>
      </c>
      <c r="AN72" s="23">
        <f t="shared" si="81"/>
        <v>0</v>
      </c>
      <c r="AQ72" s="32">
        <f t="shared" si="82"/>
        <v>42736</v>
      </c>
      <c r="AR72" s="32">
        <f t="shared" si="83"/>
        <v>42916</v>
      </c>
      <c r="AS72" s="52">
        <v>35</v>
      </c>
      <c r="AT72" s="1">
        <f t="shared" si="84"/>
        <v>0</v>
      </c>
      <c r="AU72" s="1">
        <f t="shared" si="85"/>
        <v>33</v>
      </c>
      <c r="AV72" s="1">
        <f t="shared" si="86"/>
        <v>0</v>
      </c>
      <c r="AW72" s="1">
        <f t="shared" si="87"/>
        <v>0</v>
      </c>
      <c r="AX72" s="1">
        <f t="shared" si="88"/>
        <v>0</v>
      </c>
      <c r="AY72" s="23">
        <f t="shared" si="89"/>
        <v>0.18232044198895028</v>
      </c>
      <c r="AZ72" s="23">
        <f t="shared" si="90"/>
        <v>0.27994140347018254</v>
      </c>
      <c r="BA72" s="23">
        <f t="shared" si="91"/>
        <v>9.797949121456389</v>
      </c>
      <c r="BB72" s="23">
        <f t="shared" si="92"/>
        <v>24.494872803640973</v>
      </c>
      <c r="BC72" s="23">
        <f t="shared" si="93"/>
        <v>0</v>
      </c>
      <c r="BD72" s="23">
        <f t="shared" si="94"/>
        <v>24.494872803640973</v>
      </c>
    </row>
    <row r="73" spans="1:56">
      <c r="A73" s="1" t="s">
        <v>20</v>
      </c>
      <c r="B73" s="1" t="s">
        <v>55</v>
      </c>
      <c r="C73" s="1" t="s">
        <v>22</v>
      </c>
      <c r="D73" s="1" t="s">
        <v>56</v>
      </c>
      <c r="E73" s="51" t="s">
        <v>107</v>
      </c>
      <c r="F73" s="51" t="s">
        <v>108</v>
      </c>
      <c r="G73" s="51" t="s">
        <v>109</v>
      </c>
      <c r="H73" s="1" t="s">
        <v>136</v>
      </c>
      <c r="I73" s="1" t="s">
        <v>131</v>
      </c>
      <c r="J73" s="51" t="s">
        <v>112</v>
      </c>
      <c r="K73" s="51" t="s">
        <v>112</v>
      </c>
      <c r="L73" s="51" t="s">
        <v>112</v>
      </c>
      <c r="M73" s="1">
        <v>2165061</v>
      </c>
      <c r="N73" s="52" t="s">
        <v>1085</v>
      </c>
      <c r="O73" s="55">
        <f t="shared" si="95"/>
        <v>42884</v>
      </c>
      <c r="P73" s="55">
        <f>DATE(2019,11,29)</f>
        <v>43798</v>
      </c>
      <c r="Q73" s="51">
        <v>3900</v>
      </c>
      <c r="S73" s="51">
        <v>1</v>
      </c>
      <c r="U73" s="1">
        <f t="shared" si="65"/>
        <v>915</v>
      </c>
      <c r="V73" s="31">
        <f t="shared" si="66"/>
        <v>4.2622950819672134</v>
      </c>
      <c r="W73" s="31">
        <f t="shared" si="67"/>
        <v>1555.7377049180329</v>
      </c>
      <c r="X73" s="31">
        <f t="shared" si="68"/>
        <v>1.9446721311475412</v>
      </c>
      <c r="AA73" s="32">
        <f t="shared" si="69"/>
        <v>42552</v>
      </c>
      <c r="AB73" s="32">
        <f t="shared" si="70"/>
        <v>42735</v>
      </c>
      <c r="AC73" s="1">
        <v>0</v>
      </c>
      <c r="AD73" s="1">
        <f t="shared" si="71"/>
        <v>0</v>
      </c>
      <c r="AE73" s="1">
        <f t="shared" si="72"/>
        <v>0</v>
      </c>
      <c r="AF73" s="1">
        <f t="shared" si="73"/>
        <v>0</v>
      </c>
      <c r="AG73" s="1">
        <f t="shared" si="74"/>
        <v>0</v>
      </c>
      <c r="AH73" s="1">
        <f t="shared" si="75"/>
        <v>0</v>
      </c>
      <c r="AI73" s="23">
        <f t="shared" si="76"/>
        <v>0</v>
      </c>
      <c r="AJ73" s="23">
        <f t="shared" si="77"/>
        <v>0</v>
      </c>
      <c r="AK73" s="23">
        <f t="shared" si="78"/>
        <v>0</v>
      </c>
      <c r="AL73" s="23">
        <f t="shared" si="79"/>
        <v>0</v>
      </c>
      <c r="AM73" s="23">
        <f t="shared" si="80"/>
        <v>0</v>
      </c>
      <c r="AN73" s="23">
        <f t="shared" si="81"/>
        <v>0</v>
      </c>
      <c r="AQ73" s="32">
        <f t="shared" si="82"/>
        <v>42736</v>
      </c>
      <c r="AR73" s="32">
        <f t="shared" si="83"/>
        <v>42916</v>
      </c>
      <c r="AS73" s="52">
        <v>35</v>
      </c>
      <c r="AT73" s="1">
        <f t="shared" si="84"/>
        <v>0</v>
      </c>
      <c r="AU73" s="1">
        <f t="shared" si="85"/>
        <v>33</v>
      </c>
      <c r="AV73" s="1">
        <f t="shared" si="86"/>
        <v>0</v>
      </c>
      <c r="AW73" s="1">
        <f t="shared" si="87"/>
        <v>0</v>
      </c>
      <c r="AX73" s="1">
        <f t="shared" si="88"/>
        <v>0</v>
      </c>
      <c r="AY73" s="23">
        <f t="shared" si="89"/>
        <v>0.18232044198895028</v>
      </c>
      <c r="AZ73" s="23">
        <f t="shared" si="90"/>
        <v>0.35455348247441359</v>
      </c>
      <c r="BA73" s="23">
        <f t="shared" si="91"/>
        <v>12.409371886604475</v>
      </c>
      <c r="BB73" s="23">
        <f t="shared" si="92"/>
        <v>12.409371886604475</v>
      </c>
      <c r="BC73" s="23">
        <f t="shared" si="93"/>
        <v>0</v>
      </c>
      <c r="BD73" s="23">
        <f t="shared" si="94"/>
        <v>12.409371886604475</v>
      </c>
    </row>
    <row r="74" spans="1:56">
      <c r="A74" s="1" t="s">
        <v>20</v>
      </c>
      <c r="B74" s="1" t="s">
        <v>55</v>
      </c>
      <c r="C74" s="1" t="s">
        <v>22</v>
      </c>
      <c r="D74" s="1" t="s">
        <v>56</v>
      </c>
      <c r="E74" s="51" t="s">
        <v>107</v>
      </c>
      <c r="F74" s="51" t="s">
        <v>108</v>
      </c>
      <c r="G74" s="51" t="s">
        <v>109</v>
      </c>
      <c r="H74" s="1" t="s">
        <v>275</v>
      </c>
      <c r="I74" s="1" t="s">
        <v>128</v>
      </c>
      <c r="J74" s="51" t="s">
        <v>112</v>
      </c>
      <c r="K74" s="51" t="s">
        <v>112</v>
      </c>
      <c r="L74" s="51" t="s">
        <v>112</v>
      </c>
      <c r="M74" s="1">
        <v>2165062</v>
      </c>
      <c r="N74" s="52" t="s">
        <v>1086</v>
      </c>
      <c r="O74" s="55">
        <f t="shared" si="95"/>
        <v>42884</v>
      </c>
      <c r="P74" s="55">
        <f>DATE(2018,5,29)</f>
        <v>43249</v>
      </c>
      <c r="Q74" s="51">
        <v>1697</v>
      </c>
      <c r="S74" s="51">
        <v>2.5</v>
      </c>
      <c r="U74" s="1">
        <f t="shared" si="65"/>
        <v>366</v>
      </c>
      <c r="V74" s="31">
        <f t="shared" si="66"/>
        <v>4.6366120218579239</v>
      </c>
      <c r="W74" s="31">
        <f t="shared" si="67"/>
        <v>1692.3633879781421</v>
      </c>
      <c r="X74" s="31">
        <f t="shared" si="68"/>
        <v>2.1154542349726775</v>
      </c>
      <c r="AA74" s="32">
        <f t="shared" si="69"/>
        <v>42552</v>
      </c>
      <c r="AB74" s="32">
        <f t="shared" si="70"/>
        <v>42735</v>
      </c>
      <c r="AC74" s="1">
        <v>0</v>
      </c>
      <c r="AD74" s="1">
        <f t="shared" si="71"/>
        <v>0</v>
      </c>
      <c r="AE74" s="1">
        <f t="shared" si="72"/>
        <v>0</v>
      </c>
      <c r="AF74" s="1">
        <f t="shared" si="73"/>
        <v>0</v>
      </c>
      <c r="AG74" s="1">
        <f t="shared" si="74"/>
        <v>0</v>
      </c>
      <c r="AH74" s="1">
        <f t="shared" si="75"/>
        <v>0</v>
      </c>
      <c r="AI74" s="23">
        <f t="shared" si="76"/>
        <v>0</v>
      </c>
      <c r="AJ74" s="23">
        <f t="shared" si="77"/>
        <v>0</v>
      </c>
      <c r="AK74" s="23">
        <f t="shared" si="78"/>
        <v>0</v>
      </c>
      <c r="AL74" s="23">
        <f t="shared" si="79"/>
        <v>0</v>
      </c>
      <c r="AM74" s="23">
        <f t="shared" si="80"/>
        <v>0</v>
      </c>
      <c r="AN74" s="23">
        <f t="shared" si="81"/>
        <v>0</v>
      </c>
      <c r="AQ74" s="32">
        <f t="shared" si="82"/>
        <v>42736</v>
      </c>
      <c r="AR74" s="32">
        <f t="shared" si="83"/>
        <v>42916</v>
      </c>
      <c r="AS74" s="52">
        <v>37</v>
      </c>
      <c r="AT74" s="1">
        <f t="shared" si="84"/>
        <v>0</v>
      </c>
      <c r="AU74" s="1">
        <f t="shared" si="85"/>
        <v>33</v>
      </c>
      <c r="AV74" s="1">
        <f t="shared" si="86"/>
        <v>0</v>
      </c>
      <c r="AW74" s="1">
        <f t="shared" si="87"/>
        <v>0</v>
      </c>
      <c r="AX74" s="1">
        <f t="shared" si="88"/>
        <v>0</v>
      </c>
      <c r="AY74" s="23">
        <f t="shared" si="89"/>
        <v>0.18232044198895028</v>
      </c>
      <c r="AZ74" s="23">
        <f t="shared" si="90"/>
        <v>0.38569055112761524</v>
      </c>
      <c r="BA74" s="23">
        <f t="shared" si="91"/>
        <v>14.270550391721764</v>
      </c>
      <c r="BB74" s="23">
        <f t="shared" si="92"/>
        <v>35.67637597930441</v>
      </c>
      <c r="BC74" s="23">
        <f t="shared" si="93"/>
        <v>0</v>
      </c>
      <c r="BD74" s="23">
        <f t="shared" si="94"/>
        <v>35.67637597930441</v>
      </c>
    </row>
    <row r="75" spans="1:56">
      <c r="A75" s="1" t="s">
        <v>20</v>
      </c>
      <c r="B75" s="1" t="s">
        <v>55</v>
      </c>
      <c r="C75" s="1" t="s">
        <v>22</v>
      </c>
      <c r="D75" s="1" t="s">
        <v>56</v>
      </c>
      <c r="E75" s="51" t="s">
        <v>107</v>
      </c>
      <c r="F75" s="51" t="s">
        <v>108</v>
      </c>
      <c r="G75" s="51" t="s">
        <v>109</v>
      </c>
      <c r="H75" s="1" t="s">
        <v>136</v>
      </c>
      <c r="I75" s="1" t="s">
        <v>131</v>
      </c>
      <c r="J75" s="51" t="s">
        <v>112</v>
      </c>
      <c r="K75" s="51" t="s">
        <v>112</v>
      </c>
      <c r="L75" s="51" t="s">
        <v>112</v>
      </c>
      <c r="M75" s="1">
        <v>2165064</v>
      </c>
      <c r="N75" s="52" t="s">
        <v>1087</v>
      </c>
      <c r="O75" s="55">
        <f t="shared" si="95"/>
        <v>42884</v>
      </c>
      <c r="P75" s="55">
        <f>DATE(2018,5,29)</f>
        <v>43249</v>
      </c>
      <c r="Q75" s="51">
        <v>1445</v>
      </c>
      <c r="S75" s="51">
        <v>1</v>
      </c>
      <c r="U75" s="1">
        <f t="shared" si="65"/>
        <v>366</v>
      </c>
      <c r="V75" s="31">
        <f t="shared" si="66"/>
        <v>3.9480874316939891</v>
      </c>
      <c r="W75" s="31">
        <f t="shared" si="67"/>
        <v>1441.0519125683061</v>
      </c>
      <c r="X75" s="31">
        <f t="shared" si="68"/>
        <v>1.8013148907103826</v>
      </c>
      <c r="AA75" s="32">
        <f t="shared" si="69"/>
        <v>42552</v>
      </c>
      <c r="AB75" s="32">
        <f t="shared" si="70"/>
        <v>42735</v>
      </c>
      <c r="AC75" s="1">
        <v>0</v>
      </c>
      <c r="AD75" s="1">
        <f t="shared" si="71"/>
        <v>0</v>
      </c>
      <c r="AE75" s="1">
        <f t="shared" si="72"/>
        <v>0</v>
      </c>
      <c r="AF75" s="1">
        <f t="shared" si="73"/>
        <v>0</v>
      </c>
      <c r="AG75" s="1">
        <f t="shared" si="74"/>
        <v>0</v>
      </c>
      <c r="AH75" s="1">
        <f t="shared" si="75"/>
        <v>0</v>
      </c>
      <c r="AI75" s="23">
        <f t="shared" si="76"/>
        <v>0</v>
      </c>
      <c r="AJ75" s="23">
        <f t="shared" si="77"/>
        <v>0</v>
      </c>
      <c r="AK75" s="23">
        <f t="shared" si="78"/>
        <v>0</v>
      </c>
      <c r="AL75" s="23">
        <f t="shared" si="79"/>
        <v>0</v>
      </c>
      <c r="AM75" s="23">
        <f t="shared" si="80"/>
        <v>0</v>
      </c>
      <c r="AN75" s="23">
        <f t="shared" si="81"/>
        <v>0</v>
      </c>
      <c r="AQ75" s="32">
        <f t="shared" si="82"/>
        <v>42736</v>
      </c>
      <c r="AR75" s="32">
        <f t="shared" si="83"/>
        <v>42916</v>
      </c>
      <c r="AS75" s="52">
        <v>34</v>
      </c>
      <c r="AT75" s="1">
        <f t="shared" si="84"/>
        <v>0</v>
      </c>
      <c r="AU75" s="1">
        <f t="shared" si="85"/>
        <v>33</v>
      </c>
      <c r="AV75" s="1">
        <f t="shared" si="86"/>
        <v>0</v>
      </c>
      <c r="AW75" s="1">
        <f t="shared" si="87"/>
        <v>0</v>
      </c>
      <c r="AX75" s="1">
        <f t="shared" si="88"/>
        <v>0</v>
      </c>
      <c r="AY75" s="23">
        <f t="shared" si="89"/>
        <v>0.18232044198895028</v>
      </c>
      <c r="AZ75" s="23">
        <f t="shared" si="90"/>
        <v>0.32841652703559465</v>
      </c>
      <c r="BA75" s="23">
        <f t="shared" si="91"/>
        <v>11.166161919210218</v>
      </c>
      <c r="BB75" s="23">
        <f t="shared" si="92"/>
        <v>11.166161919210218</v>
      </c>
      <c r="BC75" s="23">
        <f t="shared" si="93"/>
        <v>0</v>
      </c>
      <c r="BD75" s="23">
        <f t="shared" si="94"/>
        <v>11.166161919210218</v>
      </c>
    </row>
    <row r="76" spans="1:56">
      <c r="A76" s="1" t="s">
        <v>20</v>
      </c>
      <c r="B76" s="1" t="s">
        <v>55</v>
      </c>
      <c r="C76" s="1" t="s">
        <v>22</v>
      </c>
      <c r="D76" s="1" t="s">
        <v>56</v>
      </c>
      <c r="E76" s="51" t="s">
        <v>107</v>
      </c>
      <c r="F76" s="51" t="s">
        <v>108</v>
      </c>
      <c r="G76" s="51" t="s">
        <v>109</v>
      </c>
      <c r="H76" s="1" t="s">
        <v>285</v>
      </c>
      <c r="I76" s="1" t="s">
        <v>125</v>
      </c>
      <c r="J76" s="51" t="s">
        <v>112</v>
      </c>
      <c r="K76" s="51" t="s">
        <v>112</v>
      </c>
      <c r="L76" s="51" t="s">
        <v>112</v>
      </c>
      <c r="M76" s="1">
        <v>2165084</v>
      </c>
      <c r="N76" s="52" t="s">
        <v>1088</v>
      </c>
      <c r="O76" s="55">
        <f t="shared" si="95"/>
        <v>42884</v>
      </c>
      <c r="P76" s="55">
        <f>DATE(2019,11,29)</f>
        <v>43798</v>
      </c>
      <c r="Q76" s="51">
        <v>3747</v>
      </c>
      <c r="S76" s="51">
        <v>2.5</v>
      </c>
      <c r="U76" s="1">
        <f t="shared" si="65"/>
        <v>915</v>
      </c>
      <c r="V76" s="31">
        <f t="shared" si="66"/>
        <v>4.0950819672131145</v>
      </c>
      <c r="W76" s="31">
        <f t="shared" si="67"/>
        <v>1494.7049180327867</v>
      </c>
      <c r="X76" s="31">
        <f t="shared" si="68"/>
        <v>1.8683811475409835</v>
      </c>
      <c r="AA76" s="32">
        <f t="shared" si="69"/>
        <v>42552</v>
      </c>
      <c r="AB76" s="32">
        <f t="shared" si="70"/>
        <v>42735</v>
      </c>
      <c r="AC76" s="1">
        <v>0</v>
      </c>
      <c r="AD76" s="1">
        <f t="shared" si="71"/>
        <v>0</v>
      </c>
      <c r="AE76" s="1">
        <f t="shared" si="72"/>
        <v>0</v>
      </c>
      <c r="AF76" s="1">
        <f t="shared" si="73"/>
        <v>0</v>
      </c>
      <c r="AG76" s="1">
        <f t="shared" si="74"/>
        <v>0</v>
      </c>
      <c r="AH76" s="1">
        <f t="shared" si="75"/>
        <v>0</v>
      </c>
      <c r="AI76" s="23">
        <f t="shared" si="76"/>
        <v>0</v>
      </c>
      <c r="AJ76" s="23">
        <f t="shared" si="77"/>
        <v>0</v>
      </c>
      <c r="AK76" s="23">
        <f t="shared" si="78"/>
        <v>0</v>
      </c>
      <c r="AL76" s="23">
        <f t="shared" si="79"/>
        <v>0</v>
      </c>
      <c r="AM76" s="23">
        <f t="shared" si="80"/>
        <v>0</v>
      </c>
      <c r="AN76" s="23">
        <f t="shared" si="81"/>
        <v>0</v>
      </c>
      <c r="AQ76" s="32">
        <f t="shared" si="82"/>
        <v>42736</v>
      </c>
      <c r="AR76" s="32">
        <f t="shared" si="83"/>
        <v>42916</v>
      </c>
      <c r="AS76" s="52">
        <v>32</v>
      </c>
      <c r="AT76" s="1">
        <f t="shared" si="84"/>
        <v>0</v>
      </c>
      <c r="AU76" s="1">
        <f t="shared" si="85"/>
        <v>33</v>
      </c>
      <c r="AV76" s="1">
        <f t="shared" si="86"/>
        <v>0</v>
      </c>
      <c r="AW76" s="1">
        <f t="shared" si="87"/>
        <v>0</v>
      </c>
      <c r="AX76" s="1">
        <f t="shared" si="88"/>
        <v>0</v>
      </c>
      <c r="AY76" s="23">
        <f t="shared" si="89"/>
        <v>0.18232044198895028</v>
      </c>
      <c r="AZ76" s="23">
        <f t="shared" si="90"/>
        <v>0.34064407662349422</v>
      </c>
      <c r="BA76" s="23">
        <f t="shared" si="91"/>
        <v>10.900610451951815</v>
      </c>
      <c r="BB76" s="23">
        <f t="shared" si="92"/>
        <v>27.251526129879537</v>
      </c>
      <c r="BC76" s="23">
        <f t="shared" si="93"/>
        <v>0</v>
      </c>
      <c r="BD76" s="23">
        <f t="shared" si="94"/>
        <v>27.251526129879537</v>
      </c>
    </row>
    <row r="77" spans="1:56">
      <c r="A77" s="1" t="s">
        <v>20</v>
      </c>
      <c r="B77" s="1" t="s">
        <v>55</v>
      </c>
      <c r="C77" s="1" t="s">
        <v>22</v>
      </c>
      <c r="D77" s="1" t="s">
        <v>56</v>
      </c>
      <c r="E77" s="51" t="s">
        <v>107</v>
      </c>
      <c r="F77" s="51" t="s">
        <v>108</v>
      </c>
      <c r="G77" s="51" t="s">
        <v>109</v>
      </c>
      <c r="H77" s="1" t="s">
        <v>179</v>
      </c>
      <c r="I77" s="1" t="s">
        <v>125</v>
      </c>
      <c r="J77" s="51" t="s">
        <v>112</v>
      </c>
      <c r="K77" s="51" t="s">
        <v>112</v>
      </c>
      <c r="L77" s="51" t="s">
        <v>112</v>
      </c>
      <c r="M77" s="1">
        <v>2165086</v>
      </c>
      <c r="N77" s="52" t="s">
        <v>1089</v>
      </c>
      <c r="O77" s="55">
        <f t="shared" si="95"/>
        <v>42884</v>
      </c>
      <c r="P77" s="55">
        <f>DATE(2019,11,29)</f>
        <v>43798</v>
      </c>
      <c r="Q77" s="51">
        <v>3880</v>
      </c>
      <c r="S77" s="51">
        <v>2</v>
      </c>
      <c r="U77" s="1">
        <f t="shared" si="65"/>
        <v>915</v>
      </c>
      <c r="V77" s="31">
        <f t="shared" si="66"/>
        <v>4.2404371584699456</v>
      </c>
      <c r="W77" s="31">
        <f t="shared" si="67"/>
        <v>1547.7595628415302</v>
      </c>
      <c r="X77" s="31">
        <f t="shared" si="68"/>
        <v>1.9346994535519126</v>
      </c>
      <c r="AA77" s="32">
        <f t="shared" si="69"/>
        <v>42552</v>
      </c>
      <c r="AB77" s="32">
        <f t="shared" si="70"/>
        <v>42735</v>
      </c>
      <c r="AC77" s="1">
        <v>0</v>
      </c>
      <c r="AD77" s="1">
        <f t="shared" si="71"/>
        <v>0</v>
      </c>
      <c r="AE77" s="1">
        <f t="shared" si="72"/>
        <v>0</v>
      </c>
      <c r="AF77" s="1">
        <f t="shared" si="73"/>
        <v>0</v>
      </c>
      <c r="AG77" s="1">
        <f t="shared" si="74"/>
        <v>0</v>
      </c>
      <c r="AH77" s="1">
        <f t="shared" si="75"/>
        <v>0</v>
      </c>
      <c r="AI77" s="23">
        <f t="shared" si="76"/>
        <v>0</v>
      </c>
      <c r="AJ77" s="23">
        <f t="shared" si="77"/>
        <v>0</v>
      </c>
      <c r="AK77" s="23">
        <f t="shared" si="78"/>
        <v>0</v>
      </c>
      <c r="AL77" s="23">
        <f t="shared" si="79"/>
        <v>0</v>
      </c>
      <c r="AM77" s="23">
        <f t="shared" si="80"/>
        <v>0</v>
      </c>
      <c r="AN77" s="23">
        <f t="shared" si="81"/>
        <v>0</v>
      </c>
      <c r="AQ77" s="32">
        <f t="shared" si="82"/>
        <v>42736</v>
      </c>
      <c r="AR77" s="32">
        <f t="shared" si="83"/>
        <v>42916</v>
      </c>
      <c r="AS77" s="52">
        <v>35</v>
      </c>
      <c r="AT77" s="1">
        <f t="shared" si="84"/>
        <v>0</v>
      </c>
      <c r="AU77" s="1">
        <f t="shared" si="85"/>
        <v>33</v>
      </c>
      <c r="AV77" s="1">
        <f t="shared" si="86"/>
        <v>0</v>
      </c>
      <c r="AW77" s="1">
        <f t="shared" si="87"/>
        <v>0</v>
      </c>
      <c r="AX77" s="1">
        <f t="shared" si="88"/>
        <v>0</v>
      </c>
      <c r="AY77" s="23">
        <f t="shared" si="89"/>
        <v>0.18232044198895028</v>
      </c>
      <c r="AZ77" s="23">
        <f t="shared" si="90"/>
        <v>0.35273525948736528</v>
      </c>
      <c r="BA77" s="23">
        <f t="shared" si="91"/>
        <v>12.345734082057785</v>
      </c>
      <c r="BB77" s="23">
        <f t="shared" si="92"/>
        <v>24.69146816411557</v>
      </c>
      <c r="BC77" s="23">
        <f t="shared" si="93"/>
        <v>0</v>
      </c>
      <c r="BD77" s="23">
        <f t="shared" si="94"/>
        <v>24.69146816411557</v>
      </c>
    </row>
    <row r="78" spans="1:56">
      <c r="A78" s="1" t="s">
        <v>20</v>
      </c>
      <c r="B78" s="1" t="s">
        <v>55</v>
      </c>
      <c r="C78" s="1" t="s">
        <v>22</v>
      </c>
      <c r="D78" s="1" t="s">
        <v>56</v>
      </c>
      <c r="E78" s="51" t="s">
        <v>107</v>
      </c>
      <c r="F78" s="51" t="s">
        <v>108</v>
      </c>
      <c r="G78" s="51" t="s">
        <v>109</v>
      </c>
      <c r="H78" s="1" t="s">
        <v>937</v>
      </c>
      <c r="I78" s="1" t="s">
        <v>111</v>
      </c>
      <c r="J78" s="51" t="s">
        <v>112</v>
      </c>
      <c r="K78" s="51" t="s">
        <v>112</v>
      </c>
      <c r="L78" s="51" t="s">
        <v>112</v>
      </c>
      <c r="M78" s="1">
        <v>2165089</v>
      </c>
      <c r="N78" s="52" t="s">
        <v>1090</v>
      </c>
      <c r="O78" s="55">
        <f t="shared" si="95"/>
        <v>42884</v>
      </c>
      <c r="P78" s="55">
        <f>DATE(2019,11,29)</f>
        <v>43798</v>
      </c>
      <c r="Q78" s="51">
        <v>3649</v>
      </c>
      <c r="S78" s="51">
        <v>1.5</v>
      </c>
      <c r="U78" s="1">
        <f t="shared" si="65"/>
        <v>915</v>
      </c>
      <c r="V78" s="31">
        <f t="shared" si="66"/>
        <v>3.9879781420765026</v>
      </c>
      <c r="W78" s="31">
        <f t="shared" si="67"/>
        <v>1455.6120218579235</v>
      </c>
      <c r="X78" s="31">
        <f t="shared" si="68"/>
        <v>1.8195150273224043</v>
      </c>
      <c r="AA78" s="32">
        <f t="shared" si="69"/>
        <v>42552</v>
      </c>
      <c r="AB78" s="32">
        <f t="shared" si="70"/>
        <v>42735</v>
      </c>
      <c r="AC78" s="1">
        <v>0</v>
      </c>
      <c r="AD78" s="1">
        <f t="shared" si="71"/>
        <v>0</v>
      </c>
      <c r="AE78" s="1">
        <f t="shared" si="72"/>
        <v>0</v>
      </c>
      <c r="AF78" s="1">
        <f t="shared" si="73"/>
        <v>0</v>
      </c>
      <c r="AG78" s="1">
        <f t="shared" si="74"/>
        <v>0</v>
      </c>
      <c r="AH78" s="1">
        <f t="shared" si="75"/>
        <v>0</v>
      </c>
      <c r="AI78" s="23">
        <f t="shared" si="76"/>
        <v>0</v>
      </c>
      <c r="AJ78" s="23">
        <f t="shared" si="77"/>
        <v>0</v>
      </c>
      <c r="AK78" s="23">
        <f t="shared" si="78"/>
        <v>0</v>
      </c>
      <c r="AL78" s="23">
        <f t="shared" si="79"/>
        <v>0</v>
      </c>
      <c r="AM78" s="23">
        <f t="shared" si="80"/>
        <v>0</v>
      </c>
      <c r="AN78" s="23">
        <f t="shared" si="81"/>
        <v>0</v>
      </c>
      <c r="AQ78" s="32">
        <f t="shared" si="82"/>
        <v>42736</v>
      </c>
      <c r="AR78" s="32">
        <f t="shared" si="83"/>
        <v>42916</v>
      </c>
      <c r="AS78" s="52">
        <v>34</v>
      </c>
      <c r="AT78" s="1">
        <f t="shared" si="84"/>
        <v>0</v>
      </c>
      <c r="AU78" s="1">
        <f t="shared" si="85"/>
        <v>33</v>
      </c>
      <c r="AV78" s="1">
        <f t="shared" si="86"/>
        <v>0</v>
      </c>
      <c r="AW78" s="1">
        <f t="shared" si="87"/>
        <v>0</v>
      </c>
      <c r="AX78" s="1">
        <f t="shared" si="88"/>
        <v>0</v>
      </c>
      <c r="AY78" s="23">
        <f t="shared" si="89"/>
        <v>0.18232044198895028</v>
      </c>
      <c r="AZ78" s="23">
        <f t="shared" si="90"/>
        <v>0.33173478398695772</v>
      </c>
      <c r="BA78" s="23">
        <f t="shared" si="91"/>
        <v>11.278982655556563</v>
      </c>
      <c r="BB78" s="23">
        <f t="shared" si="92"/>
        <v>16.918473983334845</v>
      </c>
      <c r="BC78" s="23">
        <f t="shared" si="93"/>
        <v>0</v>
      </c>
      <c r="BD78" s="23">
        <f t="shared" si="94"/>
        <v>16.918473983334845</v>
      </c>
    </row>
    <row r="79" spans="1:56">
      <c r="A79" s="1" t="s">
        <v>20</v>
      </c>
      <c r="B79" s="1" t="s">
        <v>55</v>
      </c>
      <c r="C79" s="1" t="s">
        <v>22</v>
      </c>
      <c r="D79" s="1" t="s">
        <v>56</v>
      </c>
      <c r="E79" s="51" t="s">
        <v>107</v>
      </c>
      <c r="F79" s="51" t="s">
        <v>108</v>
      </c>
      <c r="G79" s="51" t="s">
        <v>109</v>
      </c>
      <c r="H79" s="1" t="s">
        <v>146</v>
      </c>
      <c r="I79" s="1" t="s">
        <v>147</v>
      </c>
      <c r="J79" s="51" t="s">
        <v>148</v>
      </c>
      <c r="K79" s="51" t="s">
        <v>148</v>
      </c>
      <c r="L79" s="51" t="s">
        <v>112</v>
      </c>
      <c r="M79" s="1">
        <v>2166148</v>
      </c>
      <c r="N79" s="52" t="s">
        <v>1091</v>
      </c>
      <c r="O79" s="55">
        <f t="shared" si="95"/>
        <v>42884</v>
      </c>
      <c r="P79" s="55">
        <f>DATE(2019,11,29)</f>
        <v>43798</v>
      </c>
      <c r="Q79" s="51">
        <v>2500</v>
      </c>
      <c r="S79" s="51">
        <v>2.5</v>
      </c>
      <c r="U79" s="1">
        <f t="shared" si="65"/>
        <v>915</v>
      </c>
      <c r="V79" s="31">
        <f t="shared" si="66"/>
        <v>2.7322404371584699</v>
      </c>
      <c r="W79" s="31">
        <f t="shared" si="67"/>
        <v>997.26775956284155</v>
      </c>
      <c r="X79" s="31">
        <f t="shared" si="68"/>
        <v>1.2465846994535519</v>
      </c>
      <c r="AA79" s="32">
        <f t="shared" si="69"/>
        <v>42552</v>
      </c>
      <c r="AB79" s="32">
        <f t="shared" si="70"/>
        <v>42735</v>
      </c>
      <c r="AC79" s="1">
        <v>0</v>
      </c>
      <c r="AD79" s="1">
        <f t="shared" si="71"/>
        <v>0</v>
      </c>
      <c r="AE79" s="1">
        <f t="shared" si="72"/>
        <v>0</v>
      </c>
      <c r="AF79" s="1">
        <f t="shared" si="73"/>
        <v>0</v>
      </c>
      <c r="AG79" s="1">
        <f t="shared" si="74"/>
        <v>0</v>
      </c>
      <c r="AH79" s="1">
        <f t="shared" si="75"/>
        <v>0</v>
      </c>
      <c r="AI79" s="23">
        <f t="shared" si="76"/>
        <v>0</v>
      </c>
      <c r="AJ79" s="23">
        <f t="shared" si="77"/>
        <v>0</v>
      </c>
      <c r="AK79" s="23">
        <f t="shared" si="78"/>
        <v>0</v>
      </c>
      <c r="AL79" s="23">
        <f t="shared" si="79"/>
        <v>0</v>
      </c>
      <c r="AM79" s="23">
        <f t="shared" si="80"/>
        <v>0</v>
      </c>
      <c r="AN79" s="23">
        <f t="shared" si="81"/>
        <v>0</v>
      </c>
      <c r="AQ79" s="32">
        <f t="shared" si="82"/>
        <v>42736</v>
      </c>
      <c r="AR79" s="32">
        <f t="shared" si="83"/>
        <v>42916</v>
      </c>
      <c r="AS79" s="52">
        <v>27</v>
      </c>
      <c r="AT79" s="1">
        <f t="shared" si="84"/>
        <v>0</v>
      </c>
      <c r="AU79" s="1">
        <f t="shared" si="85"/>
        <v>33</v>
      </c>
      <c r="AV79" s="1">
        <f t="shared" si="86"/>
        <v>0</v>
      </c>
      <c r="AW79" s="1">
        <f t="shared" si="87"/>
        <v>0</v>
      </c>
      <c r="AX79" s="1">
        <f t="shared" si="88"/>
        <v>0</v>
      </c>
      <c r="AY79" s="23">
        <f t="shared" si="89"/>
        <v>0.18232044198895028</v>
      </c>
      <c r="AZ79" s="23">
        <f t="shared" si="90"/>
        <v>0.22727787338103433</v>
      </c>
      <c r="BA79" s="23">
        <f t="shared" si="91"/>
        <v>6.1365025812879272</v>
      </c>
      <c r="BB79" s="23">
        <f t="shared" si="92"/>
        <v>15.341256453219819</v>
      </c>
      <c r="BC79" s="23">
        <f t="shared" si="93"/>
        <v>7.6706282266099093</v>
      </c>
      <c r="BD79" s="23">
        <f t="shared" si="94"/>
        <v>23.011884679829727</v>
      </c>
    </row>
    <row r="80" spans="1:56">
      <c r="A80" s="1" t="s">
        <v>20</v>
      </c>
      <c r="B80" s="1" t="s">
        <v>55</v>
      </c>
      <c r="C80" s="1" t="s">
        <v>22</v>
      </c>
      <c r="D80" s="1" t="s">
        <v>56</v>
      </c>
      <c r="E80" s="51" t="s">
        <v>107</v>
      </c>
      <c r="F80" s="51" t="s">
        <v>439</v>
      </c>
      <c r="G80" s="51" t="s">
        <v>109</v>
      </c>
      <c r="H80" s="1" t="s">
        <v>668</v>
      </c>
      <c r="J80" s="51" t="s">
        <v>112</v>
      </c>
      <c r="K80" s="51" t="s">
        <v>112</v>
      </c>
      <c r="L80" s="51" t="s">
        <v>112</v>
      </c>
      <c r="M80" s="1">
        <v>2170309</v>
      </c>
      <c r="N80" s="51" t="s">
        <v>1092</v>
      </c>
      <c r="O80" s="55">
        <f>DATE(2017,5,6)</f>
        <v>42861</v>
      </c>
      <c r="P80" s="55">
        <f>DATE(2017,9,30)</f>
        <v>43008</v>
      </c>
      <c r="Q80" s="51">
        <v>390</v>
      </c>
      <c r="S80" s="51">
        <v>1</v>
      </c>
      <c r="U80" s="1">
        <f t="shared" si="65"/>
        <v>148</v>
      </c>
      <c r="V80" s="31">
        <f t="shared" si="66"/>
        <v>2.6351351351351351</v>
      </c>
      <c r="W80" s="31">
        <f t="shared" si="67"/>
        <v>390</v>
      </c>
      <c r="X80" s="31">
        <f t="shared" si="68"/>
        <v>0.48749999999999999</v>
      </c>
      <c r="AA80" s="32">
        <f t="shared" si="69"/>
        <v>42552</v>
      </c>
      <c r="AB80" s="32">
        <f t="shared" si="70"/>
        <v>42735</v>
      </c>
      <c r="AC80" s="1">
        <v>0</v>
      </c>
      <c r="AD80" s="1">
        <f t="shared" si="71"/>
        <v>0</v>
      </c>
      <c r="AE80" s="1">
        <f t="shared" si="72"/>
        <v>0</v>
      </c>
      <c r="AF80" s="1">
        <f t="shared" si="73"/>
        <v>0</v>
      </c>
      <c r="AG80" s="1">
        <f t="shared" si="74"/>
        <v>0</v>
      </c>
      <c r="AH80" s="1">
        <f t="shared" si="75"/>
        <v>0</v>
      </c>
      <c r="AI80" s="23">
        <f t="shared" si="76"/>
        <v>0</v>
      </c>
      <c r="AJ80" s="23">
        <f t="shared" si="77"/>
        <v>0</v>
      </c>
      <c r="AK80" s="23">
        <f t="shared" si="78"/>
        <v>0</v>
      </c>
      <c r="AL80" s="23">
        <f t="shared" si="79"/>
        <v>0</v>
      </c>
      <c r="AM80" s="23">
        <f t="shared" si="80"/>
        <v>0</v>
      </c>
      <c r="AN80" s="23">
        <f t="shared" si="81"/>
        <v>0</v>
      </c>
      <c r="AQ80" s="32">
        <f t="shared" si="82"/>
        <v>42736</v>
      </c>
      <c r="AR80" s="32">
        <f t="shared" si="83"/>
        <v>42916</v>
      </c>
      <c r="AS80" s="52">
        <v>41</v>
      </c>
      <c r="AT80" s="1">
        <f t="shared" si="84"/>
        <v>0</v>
      </c>
      <c r="AU80" s="1">
        <f t="shared" si="85"/>
        <v>56</v>
      </c>
      <c r="AV80" s="1">
        <f t="shared" si="86"/>
        <v>0</v>
      </c>
      <c r="AW80" s="1">
        <f t="shared" si="87"/>
        <v>0</v>
      </c>
      <c r="AX80" s="1">
        <f t="shared" si="88"/>
        <v>0</v>
      </c>
      <c r="AY80" s="23">
        <f t="shared" si="89"/>
        <v>0.30939226519337015</v>
      </c>
      <c r="AZ80" s="23">
        <f t="shared" si="90"/>
        <v>0.15082872928176794</v>
      </c>
      <c r="BA80" s="23">
        <f t="shared" si="91"/>
        <v>6.1839779005524855</v>
      </c>
      <c r="BB80" s="23">
        <f t="shared" si="92"/>
        <v>6.1839779005524855</v>
      </c>
      <c r="BC80" s="23">
        <f t="shared" si="93"/>
        <v>0</v>
      </c>
      <c r="BD80" s="23">
        <f t="shared" si="94"/>
        <v>6.1839779005524855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E13"/>
  <sheetViews>
    <sheetView topLeftCell="N1" workbookViewId="0">
      <selection activeCell="N10" sqref="N10"/>
    </sheetView>
  </sheetViews>
  <sheetFormatPr defaultRowHeight="15"/>
  <cols>
    <col min="4" max="4" width="25.28515625" bestFit="1" customWidth="1"/>
    <col min="5" max="5" width="19.85546875" bestFit="1" customWidth="1"/>
    <col min="6" max="6" width="11.5703125" customWidth="1"/>
    <col min="7" max="7" width="10" bestFit="1" customWidth="1"/>
    <col min="8" max="8" width="33.5703125" bestFit="1" customWidth="1"/>
    <col min="9" max="9" width="32" bestFit="1" customWidth="1"/>
    <col min="14" max="14" width="83.85546875" customWidth="1"/>
    <col min="15" max="15" width="12.42578125" customWidth="1"/>
    <col min="16" max="16" width="10.7109375" bestFit="1" customWidth="1"/>
    <col min="18" max="19" width="6.28515625" customWidth="1"/>
    <col min="27" max="27" width="10.42578125" customWidth="1"/>
    <col min="28" max="28" width="10.140625" customWidth="1"/>
    <col min="33" max="33" width="8" customWidth="1"/>
    <col min="34" max="34" width="7.42578125" customWidth="1"/>
    <col min="40" max="40" width="10.5703125" customWidth="1"/>
    <col min="41" max="41" width="3.85546875" customWidth="1"/>
    <col min="42" max="42" width="11.42578125" customWidth="1"/>
    <col min="43" max="44" width="11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53.2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60" t="s">
        <v>71</v>
      </c>
      <c r="P2" s="60" t="s">
        <v>72</v>
      </c>
      <c r="Q2" s="60" t="s">
        <v>73</v>
      </c>
      <c r="R2" s="76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57</v>
      </c>
      <c r="C3" s="47" t="s">
        <v>22</v>
      </c>
      <c r="D3" s="47" t="s">
        <v>58</v>
      </c>
      <c r="E3" s="51" t="s">
        <v>107</v>
      </c>
      <c r="F3" s="51" t="s">
        <v>108</v>
      </c>
      <c r="G3" s="51" t="s">
        <v>109</v>
      </c>
      <c r="H3" s="47" t="s">
        <v>110</v>
      </c>
      <c r="I3" s="47" t="s">
        <v>111</v>
      </c>
      <c r="J3" s="51" t="s">
        <v>112</v>
      </c>
      <c r="K3" s="51" t="s">
        <v>112</v>
      </c>
      <c r="L3" s="51" t="s">
        <v>112</v>
      </c>
      <c r="M3" s="47">
        <v>1854799</v>
      </c>
      <c r="N3" s="50" t="s">
        <v>256</v>
      </c>
      <c r="O3" s="55">
        <f>DATE(2013,10,15)</f>
        <v>41562</v>
      </c>
      <c r="P3" s="55">
        <f>DATE(2015,7,3)</f>
        <v>42188</v>
      </c>
      <c r="Q3" s="51">
        <v>1915</v>
      </c>
      <c r="R3" s="49"/>
      <c r="S3" s="51">
        <v>2</v>
      </c>
      <c r="U3" s="47">
        <f t="shared" ref="U3:U10" si="0">P3-O3+1</f>
        <v>627</v>
      </c>
      <c r="V3" s="31">
        <f t="shared" ref="V3:V10" si="1">Q3/U3</f>
        <v>3.0542264752791071</v>
      </c>
      <c r="W3" s="31">
        <f t="shared" ref="W3:W10" si="2">IF(U3&gt;365,V3*365,Q3)</f>
        <v>1114.7926634768742</v>
      </c>
      <c r="X3" s="31">
        <f t="shared" ref="X3:X10" si="3">IF(U3&gt;365,W3/800,Q3/800)</f>
        <v>1.3934908293460928</v>
      </c>
      <c r="Y3" s="31"/>
      <c r="Z3" s="31"/>
      <c r="AA3" s="32">
        <f t="shared" ref="AA3:AA10" si="4">DATE(2016,7,1)</f>
        <v>42552</v>
      </c>
      <c r="AB3" s="32">
        <f t="shared" ref="AB3:AB10" si="5">DATE(2016,12,31)</f>
        <v>42735</v>
      </c>
      <c r="AC3" s="50">
        <v>2</v>
      </c>
      <c r="AD3" s="47">
        <f t="shared" ref="AD3:AD10" si="6">IF(AND(O3&lt;AA3,P3&gt;AB3),AB3-AA3+1,0)</f>
        <v>0</v>
      </c>
      <c r="AE3" s="47">
        <f t="shared" ref="AE3:AE10" si="7">IF(AND(O3&gt;=AA3,P3&gt;AB3,O3&lt;AB3),AB3-O3+1,0)</f>
        <v>0</v>
      </c>
      <c r="AF3" s="47">
        <f t="shared" ref="AF3:AF10" si="8">IF(AND(O3&lt;AA3,P3&lt;=AB3,P3&gt;=AA3),P3-AA3+1,0)</f>
        <v>0</v>
      </c>
      <c r="AG3" s="47">
        <f t="shared" ref="AG3:AG10" si="9">IF(AND(O3&gt;=AA3,P3&lt;=AB3),P3-O3+1,0)</f>
        <v>0</v>
      </c>
      <c r="AH3" s="47">
        <f t="shared" ref="AH3:AH10" si="10">IF(AND(O3&lt;AA3,P3&lt;AA3),(AB3-AA3+1)/2,0)</f>
        <v>92</v>
      </c>
      <c r="AI3" s="23">
        <f t="shared" ref="AI3:AI10" si="11">SUM(AD3:AH3)/(AB3-AA3+1)</f>
        <v>0.5</v>
      </c>
      <c r="AJ3" s="23">
        <f t="shared" ref="AJ3:AJ10" si="12">X3*AI3</f>
        <v>0.6967454146730464</v>
      </c>
      <c r="AK3" s="23">
        <f t="shared" ref="AK3:AK10" si="13">IF(AH3=0,AJ3*AC3,IF(AA3-P3&gt;1095,0,AJ3*(AC3/2)))</f>
        <v>0.6967454146730464</v>
      </c>
      <c r="AL3" s="23">
        <f t="shared" ref="AL3:AL10" si="14">AK3*S3</f>
        <v>1.3934908293460928</v>
      </c>
      <c r="AM3" s="23">
        <f t="shared" ref="AM3:AM10" si="15">IF(J3="SIM",AL3*50%,0)</f>
        <v>0</v>
      </c>
      <c r="AN3" s="23">
        <f t="shared" ref="AN3:AN10" si="16">AL3+AM3</f>
        <v>1.3934908293460928</v>
      </c>
      <c r="AO3" s="23"/>
      <c r="AP3" s="23"/>
      <c r="AQ3" s="32">
        <f t="shared" ref="AQ3:AQ10" si="17">DATE(2017,1,1)</f>
        <v>42736</v>
      </c>
      <c r="AR3" s="32">
        <f t="shared" ref="AR3:AR10" si="18">DATE(2017,6,30)</f>
        <v>42916</v>
      </c>
      <c r="AS3" s="50">
        <v>2</v>
      </c>
      <c r="AT3" s="47">
        <f t="shared" ref="AT3:AT10" si="19">IF(AND(O3&lt;AQ3,P3&gt;AR3),AR3-AQ3+1,0)</f>
        <v>0</v>
      </c>
      <c r="AU3" s="47">
        <f t="shared" ref="AU3:AU10" si="20">IF(AND(O3&gt;=AQ3,P3&gt;AR3,O3&lt;AR3),AR3-O3+1,0)</f>
        <v>0</v>
      </c>
      <c r="AV3" s="47">
        <f t="shared" ref="AV3:AV10" si="21">IF(AND(O3&lt;AQ3,P3&lt;=AR3,P3&gt;=AQ3),P3-AQ3+1,0)</f>
        <v>0</v>
      </c>
      <c r="AW3" s="47">
        <f t="shared" ref="AW3:AW10" si="22">IF(AND(O3&gt;=AQ3,P3&lt;=AR3),P3-O3+1,0)</f>
        <v>0</v>
      </c>
      <c r="AX3" s="47">
        <f t="shared" ref="AX3:AX10" si="23">IF(AND(O3&lt;AQ3,P3&lt;AQ3),(AR3-AQ3+1)/2,0)</f>
        <v>90.5</v>
      </c>
      <c r="AY3" s="23">
        <f t="shared" ref="AY3:AY10" si="24">SUM(AT3:AX3)/(AR3-AQ3+1)</f>
        <v>0.5</v>
      </c>
      <c r="AZ3" s="23">
        <f t="shared" ref="AZ3:AZ10" si="25">X3*AY3</f>
        <v>0.6967454146730464</v>
      </c>
      <c r="BA3" s="23">
        <f t="shared" ref="BA3:BA10" si="26">IF(AX3=0,AZ3*AS3,IF(AQ3-P3&gt;1095,0,AZ3*(AS3/2)))</f>
        <v>0.6967454146730464</v>
      </c>
      <c r="BB3" s="23">
        <f t="shared" ref="BB3:BB10" si="27">BA3*S3</f>
        <v>1.3934908293460928</v>
      </c>
      <c r="BC3" s="23">
        <f t="shared" ref="BC3:BC10" si="28">IF(J3="SIM",BB3*50%,0)</f>
        <v>0</v>
      </c>
      <c r="BD3" s="23">
        <f t="shared" ref="BD3:BD10" si="29">BB3+BC3</f>
        <v>1.3934908293460928</v>
      </c>
    </row>
    <row r="4" spans="1:57" s="47" customFormat="1">
      <c r="A4" s="47" t="s">
        <v>20</v>
      </c>
      <c r="B4" s="47" t="s">
        <v>57</v>
      </c>
      <c r="C4" s="47" t="s">
        <v>22</v>
      </c>
      <c r="D4" s="47" t="s">
        <v>58</v>
      </c>
      <c r="E4" s="51" t="s">
        <v>154</v>
      </c>
      <c r="F4" s="51" t="s">
        <v>108</v>
      </c>
      <c r="G4" s="51" t="s">
        <v>109</v>
      </c>
      <c r="H4" s="47" t="s">
        <v>110</v>
      </c>
      <c r="I4" s="47" t="s">
        <v>111</v>
      </c>
      <c r="J4" s="51" t="s">
        <v>112</v>
      </c>
      <c r="K4" s="51" t="s">
        <v>112</v>
      </c>
      <c r="L4" s="51" t="s">
        <v>148</v>
      </c>
      <c r="M4" s="47">
        <v>1974962</v>
      </c>
      <c r="N4" s="50" t="s">
        <v>257</v>
      </c>
      <c r="O4" s="55">
        <f>DATE(2014,10,1)</f>
        <v>41913</v>
      </c>
      <c r="P4" s="55">
        <f>DATE(2016,11,30)</f>
        <v>42704</v>
      </c>
      <c r="Q4" s="51">
        <v>1277</v>
      </c>
      <c r="R4" s="49"/>
      <c r="S4" s="51">
        <v>2</v>
      </c>
      <c r="U4" s="47">
        <f t="shared" si="0"/>
        <v>792</v>
      </c>
      <c r="V4" s="31">
        <f t="shared" si="1"/>
        <v>1.6123737373737375</v>
      </c>
      <c r="W4" s="31">
        <f t="shared" si="2"/>
        <v>588.5164141414142</v>
      </c>
      <c r="X4" s="31">
        <f t="shared" si="3"/>
        <v>0.73564551767676778</v>
      </c>
      <c r="Y4" s="31"/>
      <c r="Z4" s="31"/>
      <c r="AA4" s="32">
        <f t="shared" si="4"/>
        <v>42552</v>
      </c>
      <c r="AB4" s="32">
        <f t="shared" si="5"/>
        <v>42735</v>
      </c>
      <c r="AC4" s="50">
        <v>17</v>
      </c>
      <c r="AD4" s="47">
        <f t="shared" si="6"/>
        <v>0</v>
      </c>
      <c r="AE4" s="47">
        <f t="shared" si="7"/>
        <v>0</v>
      </c>
      <c r="AF4" s="47">
        <f t="shared" si="8"/>
        <v>153</v>
      </c>
      <c r="AG4" s="47">
        <f t="shared" si="9"/>
        <v>0</v>
      </c>
      <c r="AH4" s="47">
        <f t="shared" si="10"/>
        <v>0</v>
      </c>
      <c r="AI4" s="23">
        <f t="shared" si="11"/>
        <v>0.83152173913043481</v>
      </c>
      <c r="AJ4" s="23">
        <f t="shared" si="12"/>
        <v>0.61170524024209494</v>
      </c>
      <c r="AK4" s="23">
        <f t="shared" si="13"/>
        <v>10.398989084115614</v>
      </c>
      <c r="AL4" s="23">
        <f t="shared" si="14"/>
        <v>20.797978168231229</v>
      </c>
      <c r="AM4" s="23">
        <f t="shared" si="15"/>
        <v>0</v>
      </c>
      <c r="AN4" s="23">
        <f t="shared" si="16"/>
        <v>20.797978168231229</v>
      </c>
      <c r="AO4" s="23"/>
      <c r="AP4" s="23"/>
      <c r="AQ4" s="32">
        <f t="shared" si="17"/>
        <v>42736</v>
      </c>
      <c r="AR4" s="32">
        <f t="shared" si="18"/>
        <v>42916</v>
      </c>
      <c r="AS4" s="50">
        <v>16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0.36782275883838389</v>
      </c>
      <c r="BA4" s="23">
        <f t="shared" si="26"/>
        <v>2.9425820707070711</v>
      </c>
      <c r="BB4" s="23">
        <f t="shared" si="27"/>
        <v>5.8851641414141422</v>
      </c>
      <c r="BC4" s="23">
        <f t="shared" si="28"/>
        <v>0</v>
      </c>
      <c r="BD4" s="23">
        <f t="shared" si="29"/>
        <v>5.8851641414141422</v>
      </c>
    </row>
    <row r="5" spans="1:57" s="47" customFormat="1">
      <c r="A5" s="47" t="s">
        <v>20</v>
      </c>
      <c r="B5" s="47" t="s">
        <v>57</v>
      </c>
      <c r="C5" s="47" t="s">
        <v>22</v>
      </c>
      <c r="D5" s="47" t="s">
        <v>58</v>
      </c>
      <c r="E5" s="51" t="s">
        <v>107</v>
      </c>
      <c r="F5" s="51" t="s">
        <v>108</v>
      </c>
      <c r="G5" s="51" t="s">
        <v>109</v>
      </c>
      <c r="H5" s="47" t="s">
        <v>213</v>
      </c>
      <c r="I5" s="47" t="s">
        <v>214</v>
      </c>
      <c r="J5" s="51" t="s">
        <v>112</v>
      </c>
      <c r="K5" s="51" t="s">
        <v>112</v>
      </c>
      <c r="L5" s="51" t="s">
        <v>112</v>
      </c>
      <c r="M5" s="47">
        <v>2016029</v>
      </c>
      <c r="N5" s="51" t="s">
        <v>258</v>
      </c>
      <c r="O5" s="55">
        <f>DATE(2015,10,14)</f>
        <v>42291</v>
      </c>
      <c r="P5" s="55">
        <f>DATE(2017,4,30)</f>
        <v>42855</v>
      </c>
      <c r="Q5" s="51">
        <v>1315</v>
      </c>
      <c r="R5" s="49"/>
      <c r="S5" s="51">
        <v>1.5</v>
      </c>
      <c r="U5" s="47">
        <f t="shared" si="0"/>
        <v>565</v>
      </c>
      <c r="V5" s="31">
        <f t="shared" si="1"/>
        <v>2.3274336283185839</v>
      </c>
      <c r="W5" s="31">
        <f t="shared" si="2"/>
        <v>849.51327433628308</v>
      </c>
      <c r="X5" s="31">
        <f t="shared" si="3"/>
        <v>1.0618915929203538</v>
      </c>
      <c r="Y5" s="31"/>
      <c r="Z5" s="31"/>
      <c r="AA5" s="32">
        <f t="shared" si="4"/>
        <v>42552</v>
      </c>
      <c r="AB5" s="32">
        <f t="shared" si="5"/>
        <v>42735</v>
      </c>
      <c r="AC5" s="51">
        <v>38</v>
      </c>
      <c r="AD5" s="47">
        <f t="shared" si="6"/>
        <v>184</v>
      </c>
      <c r="AE5" s="47">
        <f t="shared" si="7"/>
        <v>0</v>
      </c>
      <c r="AF5" s="47">
        <f t="shared" si="8"/>
        <v>0</v>
      </c>
      <c r="AG5" s="47">
        <f t="shared" si="9"/>
        <v>0</v>
      </c>
      <c r="AH5" s="47">
        <f t="shared" si="10"/>
        <v>0</v>
      </c>
      <c r="AI5" s="23">
        <f t="shared" si="11"/>
        <v>1</v>
      </c>
      <c r="AJ5" s="23">
        <f t="shared" si="12"/>
        <v>1.0618915929203538</v>
      </c>
      <c r="AK5" s="23">
        <f t="shared" si="13"/>
        <v>40.351880530973446</v>
      </c>
      <c r="AL5" s="23">
        <f t="shared" si="14"/>
        <v>60.527820796460169</v>
      </c>
      <c r="AM5" s="23">
        <f t="shared" si="15"/>
        <v>0</v>
      </c>
      <c r="AN5" s="23">
        <f t="shared" si="16"/>
        <v>60.527820796460169</v>
      </c>
      <c r="AO5" s="23"/>
      <c r="AP5" s="23"/>
      <c r="AQ5" s="32">
        <f t="shared" si="17"/>
        <v>42736</v>
      </c>
      <c r="AR5" s="32">
        <f t="shared" si="18"/>
        <v>42916</v>
      </c>
      <c r="AS5" s="51">
        <v>39</v>
      </c>
      <c r="AT5" s="47">
        <f t="shared" si="19"/>
        <v>0</v>
      </c>
      <c r="AU5" s="47">
        <f t="shared" si="20"/>
        <v>0</v>
      </c>
      <c r="AV5" s="47">
        <f t="shared" si="21"/>
        <v>120</v>
      </c>
      <c r="AW5" s="47">
        <f t="shared" si="22"/>
        <v>0</v>
      </c>
      <c r="AX5" s="47">
        <f t="shared" si="23"/>
        <v>0</v>
      </c>
      <c r="AY5" s="23">
        <f t="shared" si="24"/>
        <v>0.66298342541436461</v>
      </c>
      <c r="AZ5" s="23">
        <f t="shared" si="25"/>
        <v>0.70401652569305229</v>
      </c>
      <c r="BA5" s="23">
        <f t="shared" si="26"/>
        <v>27.45664450202904</v>
      </c>
      <c r="BB5" s="23">
        <f t="shared" si="27"/>
        <v>41.184966753043561</v>
      </c>
      <c r="BC5" s="23">
        <f t="shared" si="28"/>
        <v>0</v>
      </c>
      <c r="BD5" s="23">
        <f t="shared" si="29"/>
        <v>41.184966753043561</v>
      </c>
    </row>
    <row r="6" spans="1:57" s="47" customFormat="1">
      <c r="A6" s="47" t="s">
        <v>20</v>
      </c>
      <c r="B6" s="47" t="s">
        <v>57</v>
      </c>
      <c r="C6" s="47" t="s">
        <v>22</v>
      </c>
      <c r="D6" s="47" t="s">
        <v>58</v>
      </c>
      <c r="E6" s="51" t="s">
        <v>107</v>
      </c>
      <c r="F6" s="51" t="s">
        <v>108</v>
      </c>
      <c r="G6" s="51" t="s">
        <v>109</v>
      </c>
      <c r="H6" s="47" t="s">
        <v>110</v>
      </c>
      <c r="I6" s="47" t="s">
        <v>111</v>
      </c>
      <c r="J6" s="51" t="s">
        <v>112</v>
      </c>
      <c r="K6" s="51" t="s">
        <v>112</v>
      </c>
      <c r="L6" s="51" t="s">
        <v>112</v>
      </c>
      <c r="M6" s="47">
        <v>2016030</v>
      </c>
      <c r="N6" s="51" t="s">
        <v>259</v>
      </c>
      <c r="O6" s="55">
        <f>DATE(2015,10,14)</f>
        <v>42291</v>
      </c>
      <c r="P6" s="55">
        <f>DATE(2017,10,30)</f>
        <v>43038</v>
      </c>
      <c r="Q6" s="51">
        <v>1810</v>
      </c>
      <c r="R6" s="49"/>
      <c r="S6" s="51">
        <v>2</v>
      </c>
      <c r="U6" s="47">
        <f t="shared" si="0"/>
        <v>748</v>
      </c>
      <c r="V6" s="31">
        <f t="shared" si="1"/>
        <v>2.4197860962566846</v>
      </c>
      <c r="W6" s="31">
        <f t="shared" si="2"/>
        <v>883.22192513368987</v>
      </c>
      <c r="X6" s="31">
        <f t="shared" si="3"/>
        <v>1.1040274064171123</v>
      </c>
      <c r="Y6" s="31"/>
      <c r="Z6" s="31"/>
      <c r="AA6" s="32">
        <f t="shared" si="4"/>
        <v>42552</v>
      </c>
      <c r="AB6" s="32">
        <f t="shared" si="5"/>
        <v>42735</v>
      </c>
      <c r="AC6" s="51">
        <v>43</v>
      </c>
      <c r="AD6" s="47">
        <f t="shared" si="6"/>
        <v>184</v>
      </c>
      <c r="AE6" s="47">
        <f t="shared" si="7"/>
        <v>0</v>
      </c>
      <c r="AF6" s="47">
        <f t="shared" si="8"/>
        <v>0</v>
      </c>
      <c r="AG6" s="47">
        <f t="shared" si="9"/>
        <v>0</v>
      </c>
      <c r="AH6" s="47">
        <f t="shared" si="10"/>
        <v>0</v>
      </c>
      <c r="AI6" s="23">
        <f t="shared" si="11"/>
        <v>1</v>
      </c>
      <c r="AJ6" s="23">
        <f t="shared" si="12"/>
        <v>1.1040274064171123</v>
      </c>
      <c r="AK6" s="23">
        <f t="shared" si="13"/>
        <v>47.473178475935825</v>
      </c>
      <c r="AL6" s="23">
        <f t="shared" si="14"/>
        <v>94.94635695187165</v>
      </c>
      <c r="AM6" s="23">
        <f t="shared" si="15"/>
        <v>0</v>
      </c>
      <c r="AN6" s="23">
        <f t="shared" si="16"/>
        <v>94.94635695187165</v>
      </c>
      <c r="AO6" s="23"/>
      <c r="AP6" s="23"/>
      <c r="AQ6" s="32">
        <f t="shared" si="17"/>
        <v>42736</v>
      </c>
      <c r="AR6" s="32">
        <f t="shared" si="18"/>
        <v>42916</v>
      </c>
      <c r="AS6" s="51">
        <v>43</v>
      </c>
      <c r="AT6" s="47">
        <f t="shared" si="19"/>
        <v>181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0</v>
      </c>
      <c r="AY6" s="23">
        <f t="shared" si="24"/>
        <v>1</v>
      </c>
      <c r="AZ6" s="23">
        <f t="shared" si="25"/>
        <v>1.1040274064171123</v>
      </c>
      <c r="BA6" s="23">
        <f t="shared" si="26"/>
        <v>47.473178475935825</v>
      </c>
      <c r="BB6" s="23">
        <f t="shared" si="27"/>
        <v>94.94635695187165</v>
      </c>
      <c r="BC6" s="23">
        <f t="shared" si="28"/>
        <v>0</v>
      </c>
      <c r="BD6" s="23">
        <f t="shared" si="29"/>
        <v>94.94635695187165</v>
      </c>
    </row>
    <row r="7" spans="1:57" s="47" customFormat="1">
      <c r="A7" s="47" t="s">
        <v>20</v>
      </c>
      <c r="B7" s="47" t="s">
        <v>57</v>
      </c>
      <c r="C7" s="47" t="s">
        <v>22</v>
      </c>
      <c r="D7" s="47" t="s">
        <v>58</v>
      </c>
      <c r="E7" s="51" t="s">
        <v>107</v>
      </c>
      <c r="F7" s="51" t="s">
        <v>108</v>
      </c>
      <c r="G7" s="51" t="s">
        <v>109</v>
      </c>
      <c r="H7" s="47" t="s">
        <v>260</v>
      </c>
      <c r="I7" s="47" t="s">
        <v>147</v>
      </c>
      <c r="J7" s="51" t="s">
        <v>148</v>
      </c>
      <c r="K7" s="51" t="s">
        <v>112</v>
      </c>
      <c r="L7" s="51" t="s">
        <v>112</v>
      </c>
      <c r="M7" s="47">
        <v>2016031</v>
      </c>
      <c r="N7" s="51" t="s">
        <v>261</v>
      </c>
      <c r="O7" s="55">
        <f>DATE(2015,10,14)</f>
        <v>42291</v>
      </c>
      <c r="P7" s="55">
        <f>DATE(2017,10,30)</f>
        <v>43038</v>
      </c>
      <c r="Q7" s="51">
        <v>1630</v>
      </c>
      <c r="R7" s="49"/>
      <c r="S7" s="51">
        <v>2</v>
      </c>
      <c r="U7" s="47">
        <f t="shared" si="0"/>
        <v>748</v>
      </c>
      <c r="V7" s="31">
        <f t="shared" si="1"/>
        <v>2.179144385026738</v>
      </c>
      <c r="W7" s="31">
        <f t="shared" si="2"/>
        <v>795.38770053475935</v>
      </c>
      <c r="X7" s="31">
        <f t="shared" si="3"/>
        <v>0.99423462566844922</v>
      </c>
      <c r="Y7" s="31"/>
      <c r="Z7" s="31"/>
      <c r="AA7" s="32">
        <f t="shared" si="4"/>
        <v>42552</v>
      </c>
      <c r="AB7" s="32">
        <f t="shared" si="5"/>
        <v>42735</v>
      </c>
      <c r="AC7" s="51">
        <v>34</v>
      </c>
      <c r="AD7" s="47">
        <f t="shared" si="6"/>
        <v>184</v>
      </c>
      <c r="AE7" s="47">
        <f t="shared" si="7"/>
        <v>0</v>
      </c>
      <c r="AF7" s="47">
        <f t="shared" si="8"/>
        <v>0</v>
      </c>
      <c r="AG7" s="47">
        <f t="shared" si="9"/>
        <v>0</v>
      </c>
      <c r="AH7" s="47">
        <f t="shared" si="10"/>
        <v>0</v>
      </c>
      <c r="AI7" s="23">
        <f t="shared" si="11"/>
        <v>1</v>
      </c>
      <c r="AJ7" s="23">
        <f t="shared" si="12"/>
        <v>0.99423462566844922</v>
      </c>
      <c r="AK7" s="23">
        <f t="shared" si="13"/>
        <v>33.803977272727273</v>
      </c>
      <c r="AL7" s="23">
        <f t="shared" si="14"/>
        <v>67.607954545454547</v>
      </c>
      <c r="AM7" s="23">
        <f t="shared" si="15"/>
        <v>33.803977272727273</v>
      </c>
      <c r="AN7" s="23">
        <f t="shared" si="16"/>
        <v>101.41193181818181</v>
      </c>
      <c r="AO7" s="23"/>
      <c r="AP7" s="23"/>
      <c r="AQ7" s="32">
        <f t="shared" si="17"/>
        <v>42736</v>
      </c>
      <c r="AR7" s="32">
        <f t="shared" si="18"/>
        <v>42916</v>
      </c>
      <c r="AS7" s="51">
        <v>34</v>
      </c>
      <c r="AT7" s="47">
        <f t="shared" si="19"/>
        <v>181</v>
      </c>
      <c r="AU7" s="47">
        <f t="shared" si="20"/>
        <v>0</v>
      </c>
      <c r="AV7" s="47">
        <f t="shared" si="21"/>
        <v>0</v>
      </c>
      <c r="AW7" s="47">
        <f t="shared" si="22"/>
        <v>0</v>
      </c>
      <c r="AX7" s="47">
        <f t="shared" si="23"/>
        <v>0</v>
      </c>
      <c r="AY7" s="23">
        <f t="shared" si="24"/>
        <v>1</v>
      </c>
      <c r="AZ7" s="23">
        <f t="shared" si="25"/>
        <v>0.99423462566844922</v>
      </c>
      <c r="BA7" s="23">
        <f t="shared" si="26"/>
        <v>33.803977272727273</v>
      </c>
      <c r="BB7" s="23">
        <f t="shared" si="27"/>
        <v>67.607954545454547</v>
      </c>
      <c r="BC7" s="23">
        <f t="shared" si="28"/>
        <v>33.803977272727273</v>
      </c>
      <c r="BD7" s="23">
        <f t="shared" si="29"/>
        <v>101.41193181818181</v>
      </c>
    </row>
    <row r="8" spans="1:57" s="47" customFormat="1">
      <c r="A8" s="47" t="s">
        <v>20</v>
      </c>
      <c r="B8" s="47" t="s">
        <v>57</v>
      </c>
      <c r="C8" s="47" t="s">
        <v>22</v>
      </c>
      <c r="D8" s="47" t="s">
        <v>58</v>
      </c>
      <c r="E8" s="51" t="s">
        <v>107</v>
      </c>
      <c r="F8" s="51" t="s">
        <v>108</v>
      </c>
      <c r="G8" s="51" t="s">
        <v>109</v>
      </c>
      <c r="H8" s="47" t="s">
        <v>110</v>
      </c>
      <c r="I8" s="47" t="s">
        <v>111</v>
      </c>
      <c r="J8" s="51" t="s">
        <v>112</v>
      </c>
      <c r="K8" s="51" t="s">
        <v>112</v>
      </c>
      <c r="L8" s="51" t="s">
        <v>112</v>
      </c>
      <c r="M8" s="47">
        <v>2088623</v>
      </c>
      <c r="N8" s="52" t="s">
        <v>262</v>
      </c>
      <c r="O8" s="55">
        <f>DATE(2016,9,19)</f>
        <v>42632</v>
      </c>
      <c r="P8" s="55">
        <f>DATE(2018,12,21)</f>
        <v>43455</v>
      </c>
      <c r="Q8" s="51">
        <v>1810</v>
      </c>
      <c r="R8" s="49"/>
      <c r="S8" s="51">
        <v>2</v>
      </c>
      <c r="U8" s="47">
        <f t="shared" si="0"/>
        <v>824</v>
      </c>
      <c r="V8" s="31">
        <f t="shared" si="1"/>
        <v>2.1966019417475726</v>
      </c>
      <c r="W8" s="31">
        <f t="shared" si="2"/>
        <v>801.759708737864</v>
      </c>
      <c r="X8" s="31">
        <f t="shared" si="3"/>
        <v>1.00219963592233</v>
      </c>
      <c r="Y8" s="31"/>
      <c r="Z8" s="31"/>
      <c r="AA8" s="32">
        <f t="shared" si="4"/>
        <v>42552</v>
      </c>
      <c r="AB8" s="32">
        <f t="shared" si="5"/>
        <v>42735</v>
      </c>
      <c r="AC8" s="52">
        <v>50</v>
      </c>
      <c r="AD8" s="47">
        <f t="shared" si="6"/>
        <v>0</v>
      </c>
      <c r="AE8" s="47">
        <f t="shared" si="7"/>
        <v>104</v>
      </c>
      <c r="AF8" s="47">
        <f t="shared" si="8"/>
        <v>0</v>
      </c>
      <c r="AG8" s="47">
        <f t="shared" si="9"/>
        <v>0</v>
      </c>
      <c r="AH8" s="47">
        <f t="shared" si="10"/>
        <v>0</v>
      </c>
      <c r="AI8" s="23">
        <f t="shared" si="11"/>
        <v>0.56521739130434778</v>
      </c>
      <c r="AJ8" s="23">
        <f t="shared" si="12"/>
        <v>0.56646066378218651</v>
      </c>
      <c r="AK8" s="23">
        <f t="shared" si="13"/>
        <v>28.323033189109324</v>
      </c>
      <c r="AL8" s="23">
        <f t="shared" si="14"/>
        <v>56.646066378218649</v>
      </c>
      <c r="AM8" s="23">
        <f t="shared" si="15"/>
        <v>0</v>
      </c>
      <c r="AN8" s="23">
        <f t="shared" si="16"/>
        <v>56.646066378218649</v>
      </c>
      <c r="AO8" s="23"/>
      <c r="AP8" s="23"/>
      <c r="AQ8" s="32">
        <f t="shared" si="17"/>
        <v>42736</v>
      </c>
      <c r="AR8" s="32">
        <f t="shared" si="18"/>
        <v>42916</v>
      </c>
      <c r="AS8" s="52">
        <v>49</v>
      </c>
      <c r="AT8" s="47">
        <f t="shared" si="19"/>
        <v>181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0</v>
      </c>
      <c r="AY8" s="23">
        <f t="shared" si="24"/>
        <v>1</v>
      </c>
      <c r="AZ8" s="23">
        <f t="shared" si="25"/>
        <v>1.00219963592233</v>
      </c>
      <c r="BA8" s="23">
        <f t="shared" si="26"/>
        <v>49.107782160194169</v>
      </c>
      <c r="BB8" s="23">
        <f t="shared" si="27"/>
        <v>98.215564320388339</v>
      </c>
      <c r="BC8" s="23">
        <f t="shared" si="28"/>
        <v>0</v>
      </c>
      <c r="BD8" s="23">
        <f t="shared" si="29"/>
        <v>98.215564320388339</v>
      </c>
    </row>
    <row r="9" spans="1:57" s="47" customFormat="1">
      <c r="A9" s="47" t="s">
        <v>20</v>
      </c>
      <c r="B9" s="47" t="s">
        <v>57</v>
      </c>
      <c r="C9" s="47" t="s">
        <v>22</v>
      </c>
      <c r="D9" s="47" t="s">
        <v>58</v>
      </c>
      <c r="E9" s="51" t="s">
        <v>107</v>
      </c>
      <c r="F9" s="51" t="s">
        <v>108</v>
      </c>
      <c r="G9" s="51" t="s">
        <v>109</v>
      </c>
      <c r="H9" s="47" t="s">
        <v>213</v>
      </c>
      <c r="I9" s="47" t="s">
        <v>214</v>
      </c>
      <c r="J9" s="51" t="s">
        <v>112</v>
      </c>
      <c r="K9" s="51" t="s">
        <v>112</v>
      </c>
      <c r="L9" s="51" t="s">
        <v>112</v>
      </c>
      <c r="M9" s="47">
        <v>2088639</v>
      </c>
      <c r="N9" s="52" t="s">
        <v>263</v>
      </c>
      <c r="O9" s="55">
        <f>DATE(2016,9,19)</f>
        <v>42632</v>
      </c>
      <c r="P9" s="55">
        <f>DATE(2018,6,29)</f>
        <v>43280</v>
      </c>
      <c r="Q9" s="51">
        <v>1315</v>
      </c>
      <c r="R9" s="49"/>
      <c r="S9" s="51">
        <v>1.5</v>
      </c>
      <c r="U9" s="47">
        <f t="shared" si="0"/>
        <v>649</v>
      </c>
      <c r="V9" s="31">
        <f t="shared" si="1"/>
        <v>2.0261941448382128</v>
      </c>
      <c r="W9" s="31">
        <f t="shared" si="2"/>
        <v>739.56086286594768</v>
      </c>
      <c r="X9" s="31">
        <f t="shared" si="3"/>
        <v>0.92445107858243458</v>
      </c>
      <c r="Y9" s="31"/>
      <c r="Z9" s="31"/>
      <c r="AA9" s="32">
        <f t="shared" si="4"/>
        <v>42552</v>
      </c>
      <c r="AB9" s="32">
        <f t="shared" si="5"/>
        <v>42735</v>
      </c>
      <c r="AC9" s="52">
        <v>38</v>
      </c>
      <c r="AD9" s="47">
        <f t="shared" si="6"/>
        <v>0</v>
      </c>
      <c r="AE9" s="47">
        <f t="shared" si="7"/>
        <v>104</v>
      </c>
      <c r="AF9" s="47">
        <f t="shared" si="8"/>
        <v>0</v>
      </c>
      <c r="AG9" s="47">
        <f t="shared" si="9"/>
        <v>0</v>
      </c>
      <c r="AH9" s="47">
        <f t="shared" si="10"/>
        <v>0</v>
      </c>
      <c r="AI9" s="23">
        <f t="shared" si="11"/>
        <v>0.56521739130434778</v>
      </c>
      <c r="AJ9" s="23">
        <f t="shared" si="12"/>
        <v>0.52251582702485433</v>
      </c>
      <c r="AK9" s="23">
        <f t="shared" si="13"/>
        <v>19.855601426944464</v>
      </c>
      <c r="AL9" s="23">
        <f t="shared" si="14"/>
        <v>29.783402140416698</v>
      </c>
      <c r="AM9" s="23">
        <f t="shared" si="15"/>
        <v>0</v>
      </c>
      <c r="AN9" s="23">
        <f t="shared" si="16"/>
        <v>29.783402140416698</v>
      </c>
      <c r="AO9" s="23"/>
      <c r="AP9" s="23"/>
      <c r="AQ9" s="32">
        <f t="shared" si="17"/>
        <v>42736</v>
      </c>
      <c r="AR9" s="32">
        <f t="shared" si="18"/>
        <v>42916</v>
      </c>
      <c r="AS9" s="52">
        <v>35</v>
      </c>
      <c r="AT9" s="47">
        <f t="shared" si="19"/>
        <v>181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0</v>
      </c>
      <c r="AY9" s="23">
        <f t="shared" si="24"/>
        <v>1</v>
      </c>
      <c r="AZ9" s="23">
        <f t="shared" si="25"/>
        <v>0.92445107858243458</v>
      </c>
      <c r="BA9" s="23">
        <f t="shared" si="26"/>
        <v>32.355787750385211</v>
      </c>
      <c r="BB9" s="23">
        <f t="shared" si="27"/>
        <v>48.533681625577813</v>
      </c>
      <c r="BC9" s="23">
        <f t="shared" si="28"/>
        <v>0</v>
      </c>
      <c r="BD9" s="23">
        <f t="shared" si="29"/>
        <v>48.533681625577813</v>
      </c>
    </row>
    <row r="10" spans="1:57" s="47" customFormat="1">
      <c r="A10" s="47" t="s">
        <v>20</v>
      </c>
      <c r="B10" s="47" t="s">
        <v>57</v>
      </c>
      <c r="C10" s="47" t="s">
        <v>22</v>
      </c>
      <c r="D10" s="47" t="s">
        <v>58</v>
      </c>
      <c r="E10" s="51" t="s">
        <v>107</v>
      </c>
      <c r="F10" s="51" t="s">
        <v>108</v>
      </c>
      <c r="G10" s="51" t="s">
        <v>109</v>
      </c>
      <c r="H10" s="47" t="s">
        <v>260</v>
      </c>
      <c r="I10" s="47" t="s">
        <v>147</v>
      </c>
      <c r="J10" s="51" t="s">
        <v>148</v>
      </c>
      <c r="K10" s="51" t="s">
        <v>112</v>
      </c>
      <c r="L10" s="51" t="s">
        <v>112</v>
      </c>
      <c r="M10" s="47">
        <v>2156955</v>
      </c>
      <c r="N10" s="52" t="s">
        <v>264</v>
      </c>
      <c r="O10" s="55">
        <f>DATE(2017,4,17)</f>
        <v>42842</v>
      </c>
      <c r="P10" s="55">
        <f>DATE(2019,10,17)</f>
        <v>43755</v>
      </c>
      <c r="Q10" s="51">
        <v>1630</v>
      </c>
      <c r="R10" s="49"/>
      <c r="S10" s="51">
        <v>2</v>
      </c>
      <c r="U10" s="47">
        <f t="shared" si="0"/>
        <v>914</v>
      </c>
      <c r="V10" s="31">
        <f t="shared" si="1"/>
        <v>1.7833698030634573</v>
      </c>
      <c r="W10" s="31">
        <f t="shared" si="2"/>
        <v>650.9299781181619</v>
      </c>
      <c r="X10" s="31">
        <f t="shared" si="3"/>
        <v>0.81366247264770242</v>
      </c>
      <c r="Y10" s="31"/>
      <c r="Z10" s="31"/>
      <c r="AA10" s="32">
        <f t="shared" si="4"/>
        <v>42552</v>
      </c>
      <c r="AB10" s="32">
        <f t="shared" si="5"/>
        <v>42735</v>
      </c>
      <c r="AC10" s="49">
        <v>0</v>
      </c>
      <c r="AD10" s="47">
        <f t="shared" si="6"/>
        <v>0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0</v>
      </c>
      <c r="AJ10" s="23">
        <f t="shared" si="12"/>
        <v>0</v>
      </c>
      <c r="AK10" s="23">
        <f t="shared" si="13"/>
        <v>0</v>
      </c>
      <c r="AL10" s="23">
        <f t="shared" si="14"/>
        <v>0</v>
      </c>
      <c r="AM10" s="23">
        <f t="shared" si="15"/>
        <v>0</v>
      </c>
      <c r="AN10" s="23">
        <f t="shared" si="16"/>
        <v>0</v>
      </c>
      <c r="AO10" s="23"/>
      <c r="AP10" s="23"/>
      <c r="AQ10" s="32">
        <f t="shared" si="17"/>
        <v>42736</v>
      </c>
      <c r="AR10" s="32">
        <f t="shared" si="18"/>
        <v>42916</v>
      </c>
      <c r="AS10" s="52">
        <v>51</v>
      </c>
      <c r="AT10" s="47">
        <f t="shared" si="19"/>
        <v>0</v>
      </c>
      <c r="AU10" s="47">
        <f t="shared" si="20"/>
        <v>75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0.4143646408839779</v>
      </c>
      <c r="AZ10" s="23">
        <f t="shared" si="25"/>
        <v>0.3371529582794347</v>
      </c>
      <c r="BA10" s="23">
        <f t="shared" si="26"/>
        <v>17.194800872251168</v>
      </c>
      <c r="BB10" s="23">
        <f t="shared" si="27"/>
        <v>34.389601744502336</v>
      </c>
      <c r="BC10" s="23">
        <f t="shared" si="28"/>
        <v>17.194800872251168</v>
      </c>
      <c r="BD10" s="23">
        <f t="shared" si="29"/>
        <v>51.584402616753508</v>
      </c>
    </row>
    <row r="11" spans="1:57" s="47" customFormat="1">
      <c r="A11" s="74"/>
      <c r="O11" s="32"/>
      <c r="P11" s="32"/>
      <c r="V11" s="31"/>
      <c r="W11" s="31"/>
      <c r="X11" s="31"/>
      <c r="Y11" s="31"/>
      <c r="Z11" s="31"/>
      <c r="AA11" s="32"/>
      <c r="AB11" s="32"/>
      <c r="AI11" s="23"/>
      <c r="AJ11" s="23"/>
      <c r="AK11" s="23"/>
      <c r="AL11" s="23"/>
      <c r="AM11" s="23"/>
      <c r="AN11" s="23"/>
      <c r="AO11" s="23"/>
      <c r="AP11" s="23"/>
      <c r="AQ11" s="32"/>
      <c r="AR11" s="32"/>
      <c r="AY11" s="23"/>
      <c r="AZ11" s="23"/>
      <c r="BA11" s="23"/>
      <c r="BB11" s="23"/>
      <c r="BC11" s="23"/>
      <c r="BD11" s="23"/>
    </row>
    <row r="12" spans="1:57" s="47" customFormat="1">
      <c r="O12" s="32"/>
      <c r="P12" s="32"/>
      <c r="V12" s="31"/>
      <c r="W12" s="31"/>
      <c r="X12" s="31"/>
      <c r="Y12" s="31"/>
      <c r="Z12" s="31"/>
      <c r="AA12" s="32"/>
      <c r="AB12" s="32"/>
      <c r="AI12" s="23"/>
      <c r="AJ12" s="23"/>
      <c r="AK12" s="23"/>
      <c r="AL12" s="23"/>
      <c r="AM12" s="23"/>
      <c r="AN12" s="23"/>
      <c r="AO12" s="23"/>
      <c r="AP12" s="23"/>
      <c r="AQ12" s="32"/>
      <c r="AR12" s="32"/>
      <c r="AY12" s="23"/>
      <c r="AZ12" s="23"/>
      <c r="BA12" s="23"/>
      <c r="BB12" s="23"/>
      <c r="BC12" s="23"/>
      <c r="BD12" s="23"/>
    </row>
    <row r="13" spans="1:57" s="47" customFormat="1">
      <c r="O13" s="32"/>
      <c r="P13" s="32"/>
      <c r="V13" s="31"/>
      <c r="W13" s="31"/>
      <c r="X13" s="31"/>
      <c r="Y13" s="31"/>
      <c r="Z13" s="31"/>
      <c r="AA13" s="32"/>
      <c r="AB13" s="32"/>
      <c r="AI13" s="23"/>
      <c r="AJ13" s="23"/>
      <c r="AK13" s="23"/>
      <c r="AL13" s="23"/>
      <c r="AM13" s="23"/>
      <c r="AN13" s="23"/>
      <c r="AO13" s="23"/>
      <c r="AP13" s="23"/>
      <c r="AQ13" s="32"/>
      <c r="AR13" s="32"/>
      <c r="AY13" s="23"/>
      <c r="AZ13" s="23"/>
      <c r="BA13" s="23"/>
      <c r="BB13" s="23"/>
      <c r="BC13" s="23"/>
      <c r="BD13" s="23"/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E31"/>
  <sheetViews>
    <sheetView topLeftCell="I1" workbookViewId="0">
      <selection activeCell="N31" sqref="N31"/>
    </sheetView>
  </sheetViews>
  <sheetFormatPr defaultRowHeight="15"/>
  <cols>
    <col min="4" max="4" width="15.7109375" bestFit="1" customWidth="1"/>
    <col min="5" max="5" width="19.85546875" bestFit="1" customWidth="1"/>
    <col min="6" max="6" width="18.5703125" bestFit="1" customWidth="1"/>
    <col min="7" max="7" width="10" bestFit="1" customWidth="1"/>
    <col min="8" max="8" width="43.5703125" bestFit="1" customWidth="1"/>
    <col min="9" max="9" width="32" bestFit="1" customWidth="1"/>
    <col min="14" max="14" width="106.140625" bestFit="1" customWidth="1"/>
    <col min="15" max="16" width="10.7109375" bestFit="1" customWidth="1"/>
    <col min="18" max="18" width="6.28515625" style="49" customWidth="1"/>
    <col min="20" max="20" width="4.42578125" customWidth="1"/>
    <col min="25" max="25" width="5.42578125" customWidth="1"/>
    <col min="26" max="26" width="7.28515625" customWidth="1"/>
    <col min="27" max="27" width="10.7109375" customWidth="1"/>
    <col min="28" max="28" width="11.140625" customWidth="1"/>
    <col min="41" max="41" width="3.5703125" customWidth="1"/>
    <col min="42" max="42" width="7.5703125" customWidth="1"/>
    <col min="43" max="43" width="11.140625" customWidth="1"/>
    <col min="44" max="44" width="10.5703125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66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60" t="s">
        <v>71</v>
      </c>
      <c r="P2" s="60" t="s">
        <v>72</v>
      </c>
      <c r="Q2" s="60" t="s">
        <v>73</v>
      </c>
      <c r="R2" s="76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36</v>
      </c>
      <c r="C3" s="47" t="s">
        <v>22</v>
      </c>
      <c r="D3" s="47" t="s">
        <v>37</v>
      </c>
      <c r="E3" s="51" t="s">
        <v>107</v>
      </c>
      <c r="F3" s="51" t="s">
        <v>108</v>
      </c>
      <c r="G3" s="51" t="s">
        <v>109</v>
      </c>
      <c r="H3" s="47" t="s">
        <v>110</v>
      </c>
      <c r="I3" s="47" t="s">
        <v>111</v>
      </c>
      <c r="J3" s="51" t="s">
        <v>112</v>
      </c>
      <c r="K3" s="51" t="s">
        <v>112</v>
      </c>
      <c r="L3" s="51" t="s">
        <v>112</v>
      </c>
      <c r="M3" s="47">
        <v>1724166</v>
      </c>
      <c r="N3" s="50" t="s">
        <v>670</v>
      </c>
      <c r="O3" s="55">
        <f>DATE(2013,4,2)</f>
        <v>41366</v>
      </c>
      <c r="P3" s="55">
        <f>DATE(2014,8,31)</f>
        <v>41882</v>
      </c>
      <c r="Q3" s="51">
        <v>1300</v>
      </c>
      <c r="R3" s="49"/>
      <c r="S3" s="51">
        <v>2</v>
      </c>
      <c r="U3" s="47">
        <f t="shared" ref="U3:U31" si="0">P3-O3+1</f>
        <v>517</v>
      </c>
      <c r="V3" s="31">
        <f t="shared" ref="V3:V31" si="1">Q3/U3</f>
        <v>2.5145067698259189</v>
      </c>
      <c r="W3" s="31">
        <f t="shared" ref="W3:W31" si="2">IF(U3&gt;365,V3*365,Q3)</f>
        <v>917.79497098646038</v>
      </c>
      <c r="X3" s="31">
        <f t="shared" ref="X3:X31" si="3">IF(U3&gt;365,W3/800,Q3/800)</f>
        <v>1.1472437137330755</v>
      </c>
      <c r="Y3" s="31"/>
      <c r="Z3" s="31"/>
      <c r="AA3" s="32">
        <f t="shared" ref="AA3:AA31" si="4">DATE(2016,7,1)</f>
        <v>42552</v>
      </c>
      <c r="AB3" s="77">
        <f t="shared" ref="AB3:AB31" si="5">DATE(2016,12,31)</f>
        <v>42735</v>
      </c>
      <c r="AC3" s="50">
        <v>22</v>
      </c>
      <c r="AD3" s="47">
        <f t="shared" ref="AD3:AD31" si="6">IF(AND(O3&lt;AA3,P3&gt;AB3),AB3-AA3+1,0)</f>
        <v>0</v>
      </c>
      <c r="AE3" s="47">
        <f t="shared" ref="AE3:AE31" si="7">IF(AND(O3&gt;=AA3,P3&gt;AB3,O3&lt;AB3),AB3-O3+1,0)</f>
        <v>0</v>
      </c>
      <c r="AF3" s="47">
        <f t="shared" ref="AF3:AF31" si="8">IF(AND(O3&lt;AA3,P3&lt;=AB3,P3&gt;=AA3),P3-AA3+1,0)</f>
        <v>0</v>
      </c>
      <c r="AG3" s="47">
        <f t="shared" ref="AG3:AG31" si="9">IF(AND(O3&gt;=AA3,P3&lt;=AB3),P3-O3+1,0)</f>
        <v>0</v>
      </c>
      <c r="AH3" s="47">
        <f t="shared" ref="AH3:AH31" si="10">IF(AND(O3&lt;AA3,P3&lt;AA3),(AB3-AA3+1)/2,0)</f>
        <v>92</v>
      </c>
      <c r="AI3" s="23">
        <f t="shared" ref="AI3:AI31" si="11">SUM(AD3:AH3)/(AB3-AA3+1)</f>
        <v>0.5</v>
      </c>
      <c r="AJ3" s="23">
        <f t="shared" ref="AJ3:AJ31" si="12">X3*AI3</f>
        <v>0.57362185686653777</v>
      </c>
      <c r="AK3" s="23">
        <f t="shared" ref="AK3:AK31" si="13">IF(AH3=0,AJ3*AC3,IF(AA3-P3&gt;1095,0,AJ3*(AC3/2)))</f>
        <v>6.3098404255319158</v>
      </c>
      <c r="AL3" s="23">
        <f t="shared" ref="AL3:AL31" si="14">AK3*S3</f>
        <v>12.619680851063832</v>
      </c>
      <c r="AM3" s="23">
        <f t="shared" ref="AM3:AM31" si="15">IF(J3="SIM",AL3*50%,0)</f>
        <v>0</v>
      </c>
      <c r="AN3" s="23">
        <f t="shared" ref="AN3:AN31" si="16">AL3+AM3</f>
        <v>12.619680851063832</v>
      </c>
      <c r="AO3" s="23"/>
      <c r="AP3" s="23"/>
      <c r="AQ3" s="32">
        <f t="shared" ref="AQ3:AQ31" si="17">DATE(2017,1,1)</f>
        <v>42736</v>
      </c>
      <c r="AR3" s="32">
        <f t="shared" ref="AR3:AR31" si="18">DATE(2017,6,30)</f>
        <v>42916</v>
      </c>
      <c r="AS3" s="50">
        <v>19</v>
      </c>
      <c r="AT3" s="47">
        <f t="shared" ref="AT3:AT31" si="19">IF(AND(O3&lt;AQ3,P3&gt;AR3),AR3-AQ3+1,0)</f>
        <v>0</v>
      </c>
      <c r="AU3" s="47">
        <f t="shared" ref="AU3:AU31" si="20">IF(AND(O3&gt;=AQ3,P3&gt;AR3,O3&lt;AR3),AR3-O3+1,0)</f>
        <v>0</v>
      </c>
      <c r="AV3" s="47">
        <f t="shared" ref="AV3:AV31" si="21">IF(AND(O3&lt;AQ3,P3&lt;=AR3,P3&gt;=AQ3),P3-AQ3+1,0)</f>
        <v>0</v>
      </c>
      <c r="AW3" s="47">
        <f t="shared" ref="AW3:AW31" si="22">IF(AND(O3&gt;=AQ3,P3&lt;=AR3),P3-O3+1,0)</f>
        <v>0</v>
      </c>
      <c r="AX3" s="47">
        <f t="shared" ref="AX3:AX31" si="23">IF(AND(O3&lt;AQ3,P3&lt;AQ3),(AR3-AQ3+1)/2,0)</f>
        <v>90.5</v>
      </c>
      <c r="AY3" s="23">
        <f t="shared" ref="AY3:AY31" si="24">SUM(AT3:AX3)/(AR3-AQ3+1)</f>
        <v>0.5</v>
      </c>
      <c r="AZ3" s="23">
        <f t="shared" ref="AZ3:AZ31" si="25">X3*AY3</f>
        <v>0.57362185686653777</v>
      </c>
      <c r="BA3" s="23">
        <f t="shared" ref="BA3:BA31" si="26">IF(AX3=0,AZ3*AS3,IF(AQ3-P3&gt;1095,0,AZ3*(AS3/2)))</f>
        <v>5.449407640232109</v>
      </c>
      <c r="BB3" s="23">
        <f t="shared" ref="BB3:BB31" si="27">BA3*S3</f>
        <v>10.898815280464218</v>
      </c>
      <c r="BC3" s="23">
        <f t="shared" ref="BC3:BC31" si="28">IF(J3="SIM",BB3*50%,0)</f>
        <v>0</v>
      </c>
      <c r="BD3" s="23">
        <f t="shared" ref="BD3:BD31" si="29">BB3+BC3</f>
        <v>10.898815280464218</v>
      </c>
    </row>
    <row r="4" spans="1:57" s="47" customFormat="1">
      <c r="A4" s="47" t="s">
        <v>20</v>
      </c>
      <c r="B4" s="47" t="s">
        <v>36</v>
      </c>
      <c r="C4" s="47" t="s">
        <v>22</v>
      </c>
      <c r="D4" s="47" t="s">
        <v>37</v>
      </c>
      <c r="E4" s="51" t="s">
        <v>107</v>
      </c>
      <c r="F4" s="51" t="s">
        <v>108</v>
      </c>
      <c r="G4" s="51" t="s">
        <v>109</v>
      </c>
      <c r="H4" s="47" t="s">
        <v>124</v>
      </c>
      <c r="I4" s="47" t="s">
        <v>125</v>
      </c>
      <c r="J4" s="51" t="s">
        <v>112</v>
      </c>
      <c r="K4" s="51" t="s">
        <v>112</v>
      </c>
      <c r="L4" s="51" t="s">
        <v>112</v>
      </c>
      <c r="M4" s="47">
        <v>1724364</v>
      </c>
      <c r="N4" s="50" t="s">
        <v>671</v>
      </c>
      <c r="O4" s="55">
        <f>DATE(2013,4,2)</f>
        <v>41366</v>
      </c>
      <c r="P4" s="55">
        <f>DATE(2014,8,31)</f>
        <v>41882</v>
      </c>
      <c r="Q4" s="51">
        <v>1440</v>
      </c>
      <c r="R4" s="49"/>
      <c r="S4" s="51">
        <v>2.5</v>
      </c>
      <c r="U4" s="47">
        <f t="shared" si="0"/>
        <v>517</v>
      </c>
      <c r="V4" s="31">
        <f t="shared" si="1"/>
        <v>2.7852998065764023</v>
      </c>
      <c r="W4" s="31">
        <f t="shared" si="2"/>
        <v>1016.6344294003868</v>
      </c>
      <c r="X4" s="31">
        <f t="shared" si="3"/>
        <v>1.2707930367504836</v>
      </c>
      <c r="Y4" s="31"/>
      <c r="Z4" s="31"/>
      <c r="AA4" s="32">
        <f t="shared" si="4"/>
        <v>42552</v>
      </c>
      <c r="AB4" s="77">
        <f t="shared" si="5"/>
        <v>42735</v>
      </c>
      <c r="AC4" s="50">
        <v>27</v>
      </c>
      <c r="AD4" s="47">
        <f t="shared" si="6"/>
        <v>0</v>
      </c>
      <c r="AE4" s="47">
        <f t="shared" si="7"/>
        <v>0</v>
      </c>
      <c r="AF4" s="47">
        <f t="shared" si="8"/>
        <v>0</v>
      </c>
      <c r="AG4" s="47">
        <f t="shared" si="9"/>
        <v>0</v>
      </c>
      <c r="AH4" s="47">
        <f t="shared" si="10"/>
        <v>92</v>
      </c>
      <c r="AI4" s="23">
        <f t="shared" si="11"/>
        <v>0.5</v>
      </c>
      <c r="AJ4" s="23">
        <f t="shared" si="12"/>
        <v>0.6353965183752418</v>
      </c>
      <c r="AK4" s="23">
        <f t="shared" si="13"/>
        <v>8.5778529980657652</v>
      </c>
      <c r="AL4" s="23">
        <f t="shared" si="14"/>
        <v>21.444632495164413</v>
      </c>
      <c r="AM4" s="23">
        <f t="shared" si="15"/>
        <v>0</v>
      </c>
      <c r="AN4" s="23">
        <f t="shared" si="16"/>
        <v>21.444632495164413</v>
      </c>
      <c r="AO4" s="23"/>
      <c r="AP4" s="23"/>
      <c r="AQ4" s="32">
        <f t="shared" si="17"/>
        <v>42736</v>
      </c>
      <c r="AR4" s="32">
        <f t="shared" si="18"/>
        <v>42916</v>
      </c>
      <c r="AS4" s="50">
        <v>19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0.6353965183752418</v>
      </c>
      <c r="BA4" s="23">
        <f t="shared" si="26"/>
        <v>6.0362669245647975</v>
      </c>
      <c r="BB4" s="23">
        <f t="shared" si="27"/>
        <v>15.090667311411995</v>
      </c>
      <c r="BC4" s="23">
        <f t="shared" si="28"/>
        <v>0</v>
      </c>
      <c r="BD4" s="23">
        <f t="shared" si="29"/>
        <v>15.090667311411995</v>
      </c>
    </row>
    <row r="5" spans="1:57" s="47" customFormat="1">
      <c r="A5" s="47" t="s">
        <v>20</v>
      </c>
      <c r="B5" s="47" t="s">
        <v>36</v>
      </c>
      <c r="C5" s="47" t="s">
        <v>22</v>
      </c>
      <c r="D5" s="47" t="s">
        <v>37</v>
      </c>
      <c r="E5" s="51" t="s">
        <v>107</v>
      </c>
      <c r="F5" s="51" t="s">
        <v>108</v>
      </c>
      <c r="G5" s="51" t="s">
        <v>109</v>
      </c>
      <c r="H5" s="47" t="s">
        <v>213</v>
      </c>
      <c r="I5" s="47" t="s">
        <v>214</v>
      </c>
      <c r="J5" s="51" t="s">
        <v>112</v>
      </c>
      <c r="K5" s="51" t="s">
        <v>112</v>
      </c>
      <c r="L5" s="51" t="s">
        <v>112</v>
      </c>
      <c r="M5" s="47">
        <v>1848460</v>
      </c>
      <c r="N5" s="50" t="s">
        <v>672</v>
      </c>
      <c r="O5" s="55">
        <f>DATE(2013,4,2)</f>
        <v>41366</v>
      </c>
      <c r="P5" s="55">
        <f>DATE(2014,8,31)</f>
        <v>41882</v>
      </c>
      <c r="Q5" s="51">
        <v>1000</v>
      </c>
      <c r="R5" s="49"/>
      <c r="S5" s="51">
        <v>1.5</v>
      </c>
      <c r="U5" s="47">
        <f t="shared" si="0"/>
        <v>517</v>
      </c>
      <c r="V5" s="31">
        <f t="shared" si="1"/>
        <v>1.9342359767891684</v>
      </c>
      <c r="W5" s="31">
        <f t="shared" si="2"/>
        <v>705.99613152804648</v>
      </c>
      <c r="X5" s="31">
        <f t="shared" si="3"/>
        <v>0.88249516441005804</v>
      </c>
      <c r="Y5" s="31"/>
      <c r="Z5" s="31"/>
      <c r="AA5" s="32">
        <f t="shared" si="4"/>
        <v>42552</v>
      </c>
      <c r="AB5" s="77">
        <f t="shared" si="5"/>
        <v>42735</v>
      </c>
      <c r="AC5" s="50">
        <v>1</v>
      </c>
      <c r="AD5" s="47">
        <f t="shared" si="6"/>
        <v>0</v>
      </c>
      <c r="AE5" s="47">
        <f t="shared" si="7"/>
        <v>0</v>
      </c>
      <c r="AF5" s="47">
        <f t="shared" si="8"/>
        <v>0</v>
      </c>
      <c r="AG5" s="47">
        <f t="shared" si="9"/>
        <v>0</v>
      </c>
      <c r="AH5" s="47">
        <f t="shared" si="10"/>
        <v>92</v>
      </c>
      <c r="AI5" s="23">
        <f t="shared" si="11"/>
        <v>0.5</v>
      </c>
      <c r="AJ5" s="23">
        <f t="shared" si="12"/>
        <v>0.44124758220502902</v>
      </c>
      <c r="AK5" s="23">
        <f t="shared" si="13"/>
        <v>0.22062379110251451</v>
      </c>
      <c r="AL5" s="23">
        <f t="shared" si="14"/>
        <v>0.33093568665377177</v>
      </c>
      <c r="AM5" s="23">
        <f t="shared" si="15"/>
        <v>0</v>
      </c>
      <c r="AN5" s="23">
        <f t="shared" si="16"/>
        <v>0.33093568665377177</v>
      </c>
      <c r="AO5" s="23"/>
      <c r="AP5" s="23"/>
      <c r="AQ5" s="32">
        <f t="shared" si="17"/>
        <v>42736</v>
      </c>
      <c r="AR5" s="32">
        <f t="shared" si="18"/>
        <v>42916</v>
      </c>
      <c r="AS5" s="50">
        <v>1</v>
      </c>
      <c r="AT5" s="47">
        <f t="shared" si="19"/>
        <v>0</v>
      </c>
      <c r="AU5" s="47">
        <f t="shared" si="20"/>
        <v>0</v>
      </c>
      <c r="AV5" s="47">
        <f t="shared" si="21"/>
        <v>0</v>
      </c>
      <c r="AW5" s="47">
        <f t="shared" si="22"/>
        <v>0</v>
      </c>
      <c r="AX5" s="47">
        <f t="shared" si="23"/>
        <v>90.5</v>
      </c>
      <c r="AY5" s="23">
        <f t="shared" si="24"/>
        <v>0.5</v>
      </c>
      <c r="AZ5" s="23">
        <f t="shared" si="25"/>
        <v>0.44124758220502902</v>
      </c>
      <c r="BA5" s="23">
        <f t="shared" si="26"/>
        <v>0.22062379110251451</v>
      </c>
      <c r="BB5" s="23">
        <f t="shared" si="27"/>
        <v>0.33093568665377177</v>
      </c>
      <c r="BC5" s="23">
        <f t="shared" si="28"/>
        <v>0</v>
      </c>
      <c r="BD5" s="23">
        <f t="shared" si="29"/>
        <v>0.33093568665377177</v>
      </c>
    </row>
    <row r="6" spans="1:57" s="47" customFormat="1">
      <c r="A6" s="47" t="s">
        <v>20</v>
      </c>
      <c r="B6" s="47" t="s">
        <v>36</v>
      </c>
      <c r="C6" s="47" t="s">
        <v>22</v>
      </c>
      <c r="D6" s="47" t="s">
        <v>37</v>
      </c>
      <c r="E6" s="51" t="s">
        <v>154</v>
      </c>
      <c r="F6" s="51" t="s">
        <v>108</v>
      </c>
      <c r="G6" s="51" t="s">
        <v>109</v>
      </c>
      <c r="H6" s="47" t="s">
        <v>224</v>
      </c>
      <c r="I6" s="47" t="s">
        <v>167</v>
      </c>
      <c r="J6" s="51" t="s">
        <v>112</v>
      </c>
      <c r="K6" s="51" t="s">
        <v>112</v>
      </c>
      <c r="L6" s="51" t="s">
        <v>148</v>
      </c>
      <c r="M6" s="47">
        <v>1968224</v>
      </c>
      <c r="N6" s="50" t="s">
        <v>673</v>
      </c>
      <c r="O6" s="55">
        <f>DATE(2014,10,1)</f>
        <v>41913</v>
      </c>
      <c r="P6" s="55">
        <f>DATE(2016,3,28)</f>
        <v>42457</v>
      </c>
      <c r="Q6" s="51">
        <v>1680</v>
      </c>
      <c r="R6" s="49"/>
      <c r="S6" s="51">
        <v>1</v>
      </c>
      <c r="U6" s="47">
        <f t="shared" si="0"/>
        <v>545</v>
      </c>
      <c r="V6" s="31">
        <f t="shared" si="1"/>
        <v>3.0825688073394497</v>
      </c>
      <c r="W6" s="31">
        <f t="shared" si="2"/>
        <v>1125.1376146788991</v>
      </c>
      <c r="X6" s="31">
        <f t="shared" si="3"/>
        <v>1.406422018348624</v>
      </c>
      <c r="Y6" s="31"/>
      <c r="Z6" s="31"/>
      <c r="AA6" s="32">
        <f t="shared" si="4"/>
        <v>42552</v>
      </c>
      <c r="AB6" s="77">
        <f t="shared" si="5"/>
        <v>42735</v>
      </c>
      <c r="AC6" s="50">
        <v>38</v>
      </c>
      <c r="AD6" s="47">
        <f t="shared" si="6"/>
        <v>0</v>
      </c>
      <c r="AE6" s="47">
        <f t="shared" si="7"/>
        <v>0</v>
      </c>
      <c r="AF6" s="47">
        <f t="shared" si="8"/>
        <v>0</v>
      </c>
      <c r="AG6" s="47">
        <f t="shared" si="9"/>
        <v>0</v>
      </c>
      <c r="AH6" s="47">
        <f t="shared" si="10"/>
        <v>92</v>
      </c>
      <c r="AI6" s="23">
        <f t="shared" si="11"/>
        <v>0.5</v>
      </c>
      <c r="AJ6" s="23">
        <f t="shared" si="12"/>
        <v>0.70321100917431201</v>
      </c>
      <c r="AK6" s="23">
        <f t="shared" si="13"/>
        <v>13.361009174311928</v>
      </c>
      <c r="AL6" s="23">
        <f t="shared" si="14"/>
        <v>13.361009174311928</v>
      </c>
      <c r="AM6" s="23">
        <f t="shared" si="15"/>
        <v>0</v>
      </c>
      <c r="AN6" s="23">
        <f t="shared" si="16"/>
        <v>13.361009174311928</v>
      </c>
      <c r="AO6" s="23"/>
      <c r="AP6" s="23"/>
      <c r="AQ6" s="32">
        <f t="shared" si="17"/>
        <v>42736</v>
      </c>
      <c r="AR6" s="32">
        <f t="shared" si="18"/>
        <v>42916</v>
      </c>
      <c r="AS6" s="50">
        <v>1</v>
      </c>
      <c r="AT6" s="47">
        <f t="shared" si="19"/>
        <v>0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90.5</v>
      </c>
      <c r="AY6" s="23">
        <f t="shared" si="24"/>
        <v>0.5</v>
      </c>
      <c r="AZ6" s="23">
        <f t="shared" si="25"/>
        <v>0.70321100917431201</v>
      </c>
      <c r="BA6" s="23">
        <f t="shared" si="26"/>
        <v>0.351605504587156</v>
      </c>
      <c r="BB6" s="23">
        <f t="shared" si="27"/>
        <v>0.351605504587156</v>
      </c>
      <c r="BC6" s="23">
        <f t="shared" si="28"/>
        <v>0</v>
      </c>
      <c r="BD6" s="23">
        <f t="shared" si="29"/>
        <v>0.351605504587156</v>
      </c>
    </row>
    <row r="7" spans="1:57" s="47" customFormat="1">
      <c r="A7" s="47" t="s">
        <v>20</v>
      </c>
      <c r="B7" s="47" t="s">
        <v>36</v>
      </c>
      <c r="C7" s="47" t="s">
        <v>22</v>
      </c>
      <c r="D7" s="47" t="s">
        <v>37</v>
      </c>
      <c r="E7" s="51" t="s">
        <v>107</v>
      </c>
      <c r="F7" s="51" t="s">
        <v>108</v>
      </c>
      <c r="G7" s="51" t="s">
        <v>109</v>
      </c>
      <c r="H7" s="47" t="s">
        <v>110</v>
      </c>
      <c r="I7" s="47" t="s">
        <v>111</v>
      </c>
      <c r="J7" s="51" t="s">
        <v>112</v>
      </c>
      <c r="K7" s="51" t="s">
        <v>112</v>
      </c>
      <c r="L7" s="51" t="s">
        <v>112</v>
      </c>
      <c r="M7" s="47">
        <v>1991229</v>
      </c>
      <c r="N7" s="50" t="s">
        <v>646</v>
      </c>
      <c r="O7" s="55">
        <f>DATE(2015,8,6)</f>
        <v>42222</v>
      </c>
      <c r="P7" s="55">
        <f>DATE(2016,12,30)</f>
        <v>42734</v>
      </c>
      <c r="Q7" s="51">
        <v>1200</v>
      </c>
      <c r="R7" s="49"/>
      <c r="S7" s="51">
        <v>2</v>
      </c>
      <c r="U7" s="47">
        <f t="shared" si="0"/>
        <v>513</v>
      </c>
      <c r="V7" s="31">
        <f t="shared" si="1"/>
        <v>2.3391812865497075</v>
      </c>
      <c r="W7" s="31">
        <f t="shared" si="2"/>
        <v>853.80116959064321</v>
      </c>
      <c r="X7" s="31">
        <f t="shared" si="3"/>
        <v>1.067251461988304</v>
      </c>
      <c r="Y7" s="31"/>
      <c r="Z7" s="31"/>
      <c r="AA7" s="32">
        <f t="shared" si="4"/>
        <v>42552</v>
      </c>
      <c r="AB7" s="77">
        <f t="shared" si="5"/>
        <v>42735</v>
      </c>
      <c r="AC7" s="50">
        <v>31</v>
      </c>
      <c r="AD7" s="47">
        <f t="shared" si="6"/>
        <v>0</v>
      </c>
      <c r="AE7" s="47">
        <f t="shared" si="7"/>
        <v>0</v>
      </c>
      <c r="AF7" s="47">
        <f t="shared" si="8"/>
        <v>183</v>
      </c>
      <c r="AG7" s="47">
        <f t="shared" si="9"/>
        <v>0</v>
      </c>
      <c r="AH7" s="47">
        <f t="shared" si="10"/>
        <v>0</v>
      </c>
      <c r="AI7" s="23">
        <f t="shared" si="11"/>
        <v>0.99456521739130432</v>
      </c>
      <c r="AJ7" s="23">
        <f t="shared" si="12"/>
        <v>1.061451182303585</v>
      </c>
      <c r="AK7" s="23">
        <f t="shared" si="13"/>
        <v>32.904986651411136</v>
      </c>
      <c r="AL7" s="23">
        <f t="shared" si="14"/>
        <v>65.809973302822272</v>
      </c>
      <c r="AM7" s="23">
        <f t="shared" si="15"/>
        <v>0</v>
      </c>
      <c r="AN7" s="23">
        <f t="shared" si="16"/>
        <v>65.809973302822272</v>
      </c>
      <c r="AO7" s="23"/>
      <c r="AP7" s="23"/>
      <c r="AQ7" s="32">
        <f t="shared" si="17"/>
        <v>42736</v>
      </c>
      <c r="AR7" s="32">
        <f t="shared" si="18"/>
        <v>42916</v>
      </c>
      <c r="AS7" s="50">
        <v>29</v>
      </c>
      <c r="AT7" s="47">
        <f t="shared" si="19"/>
        <v>0</v>
      </c>
      <c r="AU7" s="47">
        <f t="shared" si="20"/>
        <v>0</v>
      </c>
      <c r="AV7" s="47">
        <f t="shared" si="21"/>
        <v>0</v>
      </c>
      <c r="AW7" s="47">
        <f t="shared" si="22"/>
        <v>0</v>
      </c>
      <c r="AX7" s="47">
        <f t="shared" si="23"/>
        <v>90.5</v>
      </c>
      <c r="AY7" s="23">
        <f t="shared" si="24"/>
        <v>0.5</v>
      </c>
      <c r="AZ7" s="23">
        <f t="shared" si="25"/>
        <v>0.533625730994152</v>
      </c>
      <c r="BA7" s="23">
        <f t="shared" si="26"/>
        <v>7.7375730994152043</v>
      </c>
      <c r="BB7" s="23">
        <f t="shared" si="27"/>
        <v>15.475146198830409</v>
      </c>
      <c r="BC7" s="23">
        <f t="shared" si="28"/>
        <v>0</v>
      </c>
      <c r="BD7" s="23">
        <f t="shared" si="29"/>
        <v>15.475146198830409</v>
      </c>
    </row>
    <row r="8" spans="1:57" s="47" customFormat="1">
      <c r="A8" s="47" t="s">
        <v>20</v>
      </c>
      <c r="B8" s="47" t="s">
        <v>36</v>
      </c>
      <c r="C8" s="47" t="s">
        <v>22</v>
      </c>
      <c r="D8" s="47" t="s">
        <v>37</v>
      </c>
      <c r="E8" s="51" t="s">
        <v>107</v>
      </c>
      <c r="F8" s="51" t="s">
        <v>108</v>
      </c>
      <c r="G8" s="51" t="s">
        <v>109</v>
      </c>
      <c r="H8" s="47" t="s">
        <v>213</v>
      </c>
      <c r="I8" s="47" t="s">
        <v>214</v>
      </c>
      <c r="J8" s="51" t="s">
        <v>112</v>
      </c>
      <c r="K8" s="51" t="s">
        <v>112</v>
      </c>
      <c r="L8" s="51" t="s">
        <v>112</v>
      </c>
      <c r="M8" s="47">
        <v>1991231</v>
      </c>
      <c r="N8" s="50" t="s">
        <v>674</v>
      </c>
      <c r="O8" s="55">
        <f>DATE(2015,8,6)</f>
        <v>42222</v>
      </c>
      <c r="P8" s="55">
        <f>DATE(2016,12,30)</f>
        <v>42734</v>
      </c>
      <c r="Q8" s="51">
        <v>1000</v>
      </c>
      <c r="R8" s="49"/>
      <c r="S8" s="51">
        <v>1.5</v>
      </c>
      <c r="U8" s="47">
        <f t="shared" si="0"/>
        <v>513</v>
      </c>
      <c r="V8" s="31">
        <f t="shared" si="1"/>
        <v>1.9493177387914229</v>
      </c>
      <c r="W8" s="31">
        <f t="shared" si="2"/>
        <v>711.50097465886938</v>
      </c>
      <c r="X8" s="31">
        <f t="shared" si="3"/>
        <v>0.88937621832358671</v>
      </c>
      <c r="Y8" s="31"/>
      <c r="Z8" s="31"/>
      <c r="AA8" s="32">
        <f t="shared" si="4"/>
        <v>42552</v>
      </c>
      <c r="AB8" s="77">
        <f t="shared" si="5"/>
        <v>42735</v>
      </c>
      <c r="AC8" s="50">
        <v>23</v>
      </c>
      <c r="AD8" s="47">
        <f t="shared" si="6"/>
        <v>0</v>
      </c>
      <c r="AE8" s="47">
        <f t="shared" si="7"/>
        <v>0</v>
      </c>
      <c r="AF8" s="47">
        <f t="shared" si="8"/>
        <v>183</v>
      </c>
      <c r="AG8" s="47">
        <f t="shared" si="9"/>
        <v>0</v>
      </c>
      <c r="AH8" s="47">
        <f t="shared" si="10"/>
        <v>0</v>
      </c>
      <c r="AI8" s="23">
        <f t="shared" si="11"/>
        <v>0.99456521739130432</v>
      </c>
      <c r="AJ8" s="23">
        <f t="shared" si="12"/>
        <v>0.8845426519196542</v>
      </c>
      <c r="AK8" s="23">
        <f t="shared" si="13"/>
        <v>20.344480994152047</v>
      </c>
      <c r="AL8" s="23">
        <f t="shared" si="14"/>
        <v>30.516721491228068</v>
      </c>
      <c r="AM8" s="23">
        <f t="shared" si="15"/>
        <v>0</v>
      </c>
      <c r="AN8" s="23">
        <f t="shared" si="16"/>
        <v>30.516721491228068</v>
      </c>
      <c r="AO8" s="23"/>
      <c r="AP8" s="23"/>
      <c r="AQ8" s="32">
        <f t="shared" si="17"/>
        <v>42736</v>
      </c>
      <c r="AR8" s="32">
        <f t="shared" si="18"/>
        <v>42916</v>
      </c>
      <c r="AS8" s="50">
        <v>22</v>
      </c>
      <c r="AT8" s="47">
        <f t="shared" si="19"/>
        <v>0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90.5</v>
      </c>
      <c r="AY8" s="23">
        <f t="shared" si="24"/>
        <v>0.5</v>
      </c>
      <c r="AZ8" s="23">
        <f t="shared" si="25"/>
        <v>0.44468810916179335</v>
      </c>
      <c r="BA8" s="23">
        <f t="shared" si="26"/>
        <v>4.8915692007797267</v>
      </c>
      <c r="BB8" s="23">
        <f t="shared" si="27"/>
        <v>7.3373538011695896</v>
      </c>
      <c r="BC8" s="23">
        <f t="shared" si="28"/>
        <v>0</v>
      </c>
      <c r="BD8" s="23">
        <f t="shared" si="29"/>
        <v>7.3373538011695896</v>
      </c>
    </row>
    <row r="9" spans="1:57" s="47" customFormat="1">
      <c r="A9" s="47" t="s">
        <v>20</v>
      </c>
      <c r="B9" s="47" t="s">
        <v>36</v>
      </c>
      <c r="C9" s="47" t="s">
        <v>22</v>
      </c>
      <c r="D9" s="47" t="s">
        <v>37</v>
      </c>
      <c r="E9" s="51" t="s">
        <v>107</v>
      </c>
      <c r="F9" s="51" t="s">
        <v>108</v>
      </c>
      <c r="G9" s="51" t="s">
        <v>109</v>
      </c>
      <c r="H9" s="47" t="s">
        <v>124</v>
      </c>
      <c r="I9" s="47" t="s">
        <v>125</v>
      </c>
      <c r="J9" s="51" t="s">
        <v>112</v>
      </c>
      <c r="K9" s="51" t="s">
        <v>112</v>
      </c>
      <c r="L9" s="51" t="s">
        <v>112</v>
      </c>
      <c r="M9" s="47">
        <v>1991232</v>
      </c>
      <c r="N9" s="50" t="s">
        <v>640</v>
      </c>
      <c r="O9" s="55">
        <f>DATE(2015,8,6)</f>
        <v>42222</v>
      </c>
      <c r="P9" s="55">
        <f>DATE(2016,12,30)</f>
        <v>42734</v>
      </c>
      <c r="Q9" s="51">
        <v>1440</v>
      </c>
      <c r="R9" s="49"/>
      <c r="S9" s="51">
        <v>2.5</v>
      </c>
      <c r="U9" s="47">
        <f t="shared" si="0"/>
        <v>513</v>
      </c>
      <c r="V9" s="31">
        <f t="shared" si="1"/>
        <v>2.807017543859649</v>
      </c>
      <c r="W9" s="31">
        <f t="shared" si="2"/>
        <v>1024.5614035087719</v>
      </c>
      <c r="X9" s="31">
        <f t="shared" si="3"/>
        <v>1.2807017543859649</v>
      </c>
      <c r="Y9" s="31"/>
      <c r="Z9" s="31"/>
      <c r="AA9" s="32">
        <f t="shared" si="4"/>
        <v>42552</v>
      </c>
      <c r="AB9" s="77">
        <f t="shared" si="5"/>
        <v>42735</v>
      </c>
      <c r="AC9" s="50">
        <v>20</v>
      </c>
      <c r="AD9" s="47">
        <f t="shared" si="6"/>
        <v>0</v>
      </c>
      <c r="AE9" s="47">
        <f t="shared" si="7"/>
        <v>0</v>
      </c>
      <c r="AF9" s="47">
        <f t="shared" si="8"/>
        <v>183</v>
      </c>
      <c r="AG9" s="47">
        <f t="shared" si="9"/>
        <v>0</v>
      </c>
      <c r="AH9" s="47">
        <f t="shared" si="10"/>
        <v>0</v>
      </c>
      <c r="AI9" s="23">
        <f t="shared" si="11"/>
        <v>0.99456521739130432</v>
      </c>
      <c r="AJ9" s="23">
        <f t="shared" si="12"/>
        <v>1.2737414187643019</v>
      </c>
      <c r="AK9" s="23">
        <f t="shared" si="13"/>
        <v>25.474828375286037</v>
      </c>
      <c r="AL9" s="23">
        <f t="shared" si="14"/>
        <v>63.687070938215093</v>
      </c>
      <c r="AM9" s="23">
        <f t="shared" si="15"/>
        <v>0</v>
      </c>
      <c r="AN9" s="23">
        <f t="shared" si="16"/>
        <v>63.687070938215093</v>
      </c>
      <c r="AO9" s="23"/>
      <c r="AP9" s="23"/>
      <c r="AQ9" s="32">
        <f t="shared" si="17"/>
        <v>42736</v>
      </c>
      <c r="AR9" s="32">
        <f t="shared" si="18"/>
        <v>42916</v>
      </c>
      <c r="AS9" s="50">
        <v>13</v>
      </c>
      <c r="AT9" s="47">
        <f t="shared" si="19"/>
        <v>0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90.5</v>
      </c>
      <c r="AY9" s="23">
        <f t="shared" si="24"/>
        <v>0.5</v>
      </c>
      <c r="AZ9" s="23">
        <f t="shared" si="25"/>
        <v>0.64035087719298245</v>
      </c>
      <c r="BA9" s="23">
        <f t="shared" si="26"/>
        <v>4.1622807017543861</v>
      </c>
      <c r="BB9" s="23">
        <f t="shared" si="27"/>
        <v>10.405701754385966</v>
      </c>
      <c r="BC9" s="23">
        <f t="shared" si="28"/>
        <v>0</v>
      </c>
      <c r="BD9" s="23">
        <f t="shared" si="29"/>
        <v>10.405701754385966</v>
      </c>
    </row>
    <row r="10" spans="1:57" s="47" customFormat="1">
      <c r="A10" s="47" t="s">
        <v>20</v>
      </c>
      <c r="B10" s="47" t="s">
        <v>36</v>
      </c>
      <c r="C10" s="47" t="s">
        <v>22</v>
      </c>
      <c r="D10" s="47" t="s">
        <v>37</v>
      </c>
      <c r="E10" s="51" t="s">
        <v>107</v>
      </c>
      <c r="F10" s="51" t="s">
        <v>108</v>
      </c>
      <c r="G10" s="51" t="s">
        <v>109</v>
      </c>
      <c r="H10" s="47" t="s">
        <v>179</v>
      </c>
      <c r="I10" s="47" t="s">
        <v>125</v>
      </c>
      <c r="J10" s="51" t="s">
        <v>112</v>
      </c>
      <c r="K10" s="51" t="s">
        <v>112</v>
      </c>
      <c r="L10" s="51" t="s">
        <v>112</v>
      </c>
      <c r="M10" s="47">
        <v>2022731</v>
      </c>
      <c r="N10" s="52" t="s">
        <v>675</v>
      </c>
      <c r="O10" s="55">
        <f>DATE(2016,4,19)</f>
        <v>42479</v>
      </c>
      <c r="P10" s="55">
        <f>DATE(2018,4,19)</f>
        <v>43209</v>
      </c>
      <c r="Q10" s="51">
        <v>1920</v>
      </c>
      <c r="R10" s="49"/>
      <c r="S10" s="51">
        <v>2</v>
      </c>
      <c r="U10" s="47">
        <f t="shared" si="0"/>
        <v>731</v>
      </c>
      <c r="V10" s="31">
        <f t="shared" si="1"/>
        <v>2.6265389876880985</v>
      </c>
      <c r="W10" s="31">
        <f t="shared" si="2"/>
        <v>958.68673050615598</v>
      </c>
      <c r="X10" s="31">
        <f t="shared" si="3"/>
        <v>1.198358413132695</v>
      </c>
      <c r="Y10" s="31"/>
      <c r="Z10" s="31"/>
      <c r="AA10" s="32">
        <f t="shared" si="4"/>
        <v>42552</v>
      </c>
      <c r="AB10" s="77">
        <f t="shared" si="5"/>
        <v>42735</v>
      </c>
      <c r="AC10" s="52">
        <v>37</v>
      </c>
      <c r="AD10" s="47">
        <f t="shared" si="6"/>
        <v>184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1</v>
      </c>
      <c r="AJ10" s="23">
        <f t="shared" si="12"/>
        <v>1.198358413132695</v>
      </c>
      <c r="AK10" s="23">
        <f t="shared" si="13"/>
        <v>44.339261285909714</v>
      </c>
      <c r="AL10" s="23">
        <f t="shared" si="14"/>
        <v>88.678522571819428</v>
      </c>
      <c r="AM10" s="23">
        <f t="shared" si="15"/>
        <v>0</v>
      </c>
      <c r="AN10" s="23">
        <f t="shared" si="16"/>
        <v>88.678522571819428</v>
      </c>
      <c r="AO10" s="23"/>
      <c r="AP10" s="23"/>
      <c r="AQ10" s="32">
        <f t="shared" si="17"/>
        <v>42736</v>
      </c>
      <c r="AR10" s="32">
        <f t="shared" si="18"/>
        <v>42916</v>
      </c>
      <c r="AS10" s="52">
        <v>31</v>
      </c>
      <c r="AT10" s="47">
        <f t="shared" si="19"/>
        <v>181</v>
      </c>
      <c r="AU10" s="47">
        <f t="shared" si="20"/>
        <v>0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1</v>
      </c>
      <c r="AZ10" s="23">
        <f t="shared" si="25"/>
        <v>1.198358413132695</v>
      </c>
      <c r="BA10" s="23">
        <f t="shared" si="26"/>
        <v>37.149110807113544</v>
      </c>
      <c r="BB10" s="23">
        <f t="shared" si="27"/>
        <v>74.298221614227089</v>
      </c>
      <c r="BC10" s="23">
        <f t="shared" si="28"/>
        <v>0</v>
      </c>
      <c r="BD10" s="23">
        <f t="shared" si="29"/>
        <v>74.298221614227089</v>
      </c>
    </row>
    <row r="11" spans="1:57" s="47" customFormat="1">
      <c r="A11" s="74" t="s">
        <v>20</v>
      </c>
      <c r="B11" s="47" t="s">
        <v>36</v>
      </c>
      <c r="C11" s="47" t="s">
        <v>22</v>
      </c>
      <c r="D11" s="47" t="s">
        <v>37</v>
      </c>
      <c r="E11" s="51" t="s">
        <v>107</v>
      </c>
      <c r="F11" s="51" t="s">
        <v>108</v>
      </c>
      <c r="G11" s="51" t="s">
        <v>109</v>
      </c>
      <c r="H11" s="47" t="s">
        <v>642</v>
      </c>
      <c r="I11" s="47" t="s">
        <v>147</v>
      </c>
      <c r="J11" s="51" t="s">
        <v>148</v>
      </c>
      <c r="K11" s="51" t="s">
        <v>112</v>
      </c>
      <c r="L11" s="51" t="s">
        <v>112</v>
      </c>
      <c r="M11" s="47">
        <v>2022743</v>
      </c>
      <c r="N11" s="51" t="s">
        <v>676</v>
      </c>
      <c r="O11" s="55">
        <f>DATE(2016,4,19)</f>
        <v>42479</v>
      </c>
      <c r="P11" s="55">
        <f>DATE(2017,10,19)</f>
        <v>43027</v>
      </c>
      <c r="Q11" s="51">
        <v>1700</v>
      </c>
      <c r="R11" s="49"/>
      <c r="S11" s="51">
        <v>2.5</v>
      </c>
      <c r="U11" s="47">
        <f t="shared" si="0"/>
        <v>549</v>
      </c>
      <c r="V11" s="31">
        <f t="shared" si="1"/>
        <v>3.0965391621129328</v>
      </c>
      <c r="W11" s="31">
        <f t="shared" si="2"/>
        <v>1130.2367941712205</v>
      </c>
      <c r="X11" s="31">
        <f t="shared" si="3"/>
        <v>1.4127959927140257</v>
      </c>
      <c r="Y11" s="31"/>
      <c r="Z11" s="31"/>
      <c r="AA11" s="32">
        <f t="shared" si="4"/>
        <v>42552</v>
      </c>
      <c r="AB11" s="77">
        <f t="shared" si="5"/>
        <v>42735</v>
      </c>
      <c r="AC11" s="51">
        <v>39</v>
      </c>
      <c r="AD11" s="47">
        <f t="shared" si="6"/>
        <v>184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0</v>
      </c>
      <c r="AI11" s="23">
        <f t="shared" si="11"/>
        <v>1</v>
      </c>
      <c r="AJ11" s="23">
        <f t="shared" si="12"/>
        <v>1.4127959927140257</v>
      </c>
      <c r="AK11" s="23">
        <f t="shared" si="13"/>
        <v>55.099043715847003</v>
      </c>
      <c r="AL11" s="23">
        <f t="shared" si="14"/>
        <v>137.74760928961751</v>
      </c>
      <c r="AM11" s="23">
        <f t="shared" si="15"/>
        <v>68.873804644808757</v>
      </c>
      <c r="AN11" s="23">
        <f t="shared" si="16"/>
        <v>206.62141393442627</v>
      </c>
      <c r="AO11" s="23"/>
      <c r="AP11" s="23"/>
      <c r="AQ11" s="32">
        <f t="shared" si="17"/>
        <v>42736</v>
      </c>
      <c r="AR11" s="32">
        <f t="shared" si="18"/>
        <v>42916</v>
      </c>
      <c r="AS11" s="51">
        <v>39</v>
      </c>
      <c r="AT11" s="47">
        <f t="shared" si="19"/>
        <v>181</v>
      </c>
      <c r="AU11" s="47">
        <f t="shared" si="20"/>
        <v>0</v>
      </c>
      <c r="AV11" s="47">
        <f t="shared" si="21"/>
        <v>0</v>
      </c>
      <c r="AW11" s="47">
        <f t="shared" si="22"/>
        <v>0</v>
      </c>
      <c r="AX11" s="47">
        <f t="shared" si="23"/>
        <v>0</v>
      </c>
      <c r="AY11" s="23">
        <f t="shared" si="24"/>
        <v>1</v>
      </c>
      <c r="AZ11" s="23">
        <f t="shared" si="25"/>
        <v>1.4127959927140257</v>
      </c>
      <c r="BA11" s="23">
        <f t="shared" si="26"/>
        <v>55.099043715847003</v>
      </c>
      <c r="BB11" s="23">
        <f t="shared" si="27"/>
        <v>137.74760928961751</v>
      </c>
      <c r="BC11" s="23">
        <f t="shared" si="28"/>
        <v>68.873804644808757</v>
      </c>
      <c r="BD11" s="23">
        <f t="shared" si="29"/>
        <v>206.62141393442627</v>
      </c>
    </row>
    <row r="12" spans="1:57" s="47" customFormat="1">
      <c r="A12" s="47" t="s">
        <v>20</v>
      </c>
      <c r="B12" s="47" t="s">
        <v>36</v>
      </c>
      <c r="C12" s="47" t="s">
        <v>22</v>
      </c>
      <c r="D12" s="47" t="s">
        <v>37</v>
      </c>
      <c r="E12" s="51" t="s">
        <v>107</v>
      </c>
      <c r="F12" s="51" t="s">
        <v>232</v>
      </c>
      <c r="G12" s="51" t="s">
        <v>109</v>
      </c>
      <c r="H12" s="47" t="s">
        <v>677</v>
      </c>
      <c r="J12" s="51" t="s">
        <v>112</v>
      </c>
      <c r="K12" s="51" t="s">
        <v>112</v>
      </c>
      <c r="L12" s="51" t="s">
        <v>112</v>
      </c>
      <c r="M12" s="47">
        <v>2033886</v>
      </c>
      <c r="N12" s="50" t="s">
        <v>678</v>
      </c>
      <c r="O12" s="55">
        <f>DATE(2016,8,1)</f>
        <v>42583</v>
      </c>
      <c r="P12" s="55">
        <f>DATE(2016,10,5)</f>
        <v>42648</v>
      </c>
      <c r="Q12" s="51">
        <v>184</v>
      </c>
      <c r="R12" s="49"/>
      <c r="S12" s="51">
        <v>1</v>
      </c>
      <c r="U12" s="47">
        <f t="shared" si="0"/>
        <v>66</v>
      </c>
      <c r="V12" s="31">
        <f t="shared" si="1"/>
        <v>2.7878787878787881</v>
      </c>
      <c r="W12" s="31">
        <f t="shared" si="2"/>
        <v>184</v>
      </c>
      <c r="X12" s="31">
        <f t="shared" si="3"/>
        <v>0.23</v>
      </c>
      <c r="Y12" s="31"/>
      <c r="Z12" s="31"/>
      <c r="AA12" s="32">
        <f t="shared" si="4"/>
        <v>42552</v>
      </c>
      <c r="AB12" s="77">
        <f t="shared" si="5"/>
        <v>42735</v>
      </c>
      <c r="AC12" s="50">
        <v>30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66</v>
      </c>
      <c r="AH12" s="47">
        <f t="shared" si="10"/>
        <v>0</v>
      </c>
      <c r="AI12" s="23">
        <f t="shared" si="11"/>
        <v>0.35869565217391303</v>
      </c>
      <c r="AJ12" s="23">
        <f t="shared" si="12"/>
        <v>8.2500000000000004E-2</v>
      </c>
      <c r="AK12" s="23">
        <f t="shared" si="13"/>
        <v>2.4750000000000001</v>
      </c>
      <c r="AL12" s="23">
        <f t="shared" si="14"/>
        <v>2.4750000000000001</v>
      </c>
      <c r="AM12" s="23">
        <f t="shared" si="15"/>
        <v>0</v>
      </c>
      <c r="AN12" s="23">
        <f t="shared" si="16"/>
        <v>2.4750000000000001</v>
      </c>
      <c r="AO12" s="23"/>
      <c r="AP12" s="23"/>
      <c r="AQ12" s="32">
        <f t="shared" si="17"/>
        <v>42736</v>
      </c>
      <c r="AR12" s="32">
        <f t="shared" si="18"/>
        <v>42916</v>
      </c>
      <c r="AS12" s="50">
        <v>3</v>
      </c>
      <c r="AT12" s="47">
        <f t="shared" si="19"/>
        <v>0</v>
      </c>
      <c r="AU12" s="47">
        <f t="shared" si="20"/>
        <v>0</v>
      </c>
      <c r="AV12" s="47">
        <f t="shared" si="21"/>
        <v>0</v>
      </c>
      <c r="AW12" s="47">
        <f t="shared" si="22"/>
        <v>0</v>
      </c>
      <c r="AX12" s="47">
        <f t="shared" si="23"/>
        <v>90.5</v>
      </c>
      <c r="AY12" s="23">
        <f t="shared" si="24"/>
        <v>0.5</v>
      </c>
      <c r="AZ12" s="23">
        <f t="shared" si="25"/>
        <v>0.115</v>
      </c>
      <c r="BA12" s="23">
        <f t="shared" si="26"/>
        <v>0.17250000000000001</v>
      </c>
      <c r="BB12" s="23">
        <f t="shared" si="27"/>
        <v>0.17250000000000001</v>
      </c>
      <c r="BC12" s="23">
        <f t="shared" si="28"/>
        <v>0</v>
      </c>
      <c r="BD12" s="23">
        <f t="shared" si="29"/>
        <v>0.17250000000000001</v>
      </c>
    </row>
    <row r="13" spans="1:57" s="47" customFormat="1">
      <c r="A13" s="47" t="s">
        <v>20</v>
      </c>
      <c r="B13" s="47" t="s">
        <v>36</v>
      </c>
      <c r="C13" s="47" t="s">
        <v>22</v>
      </c>
      <c r="D13" s="47" t="s">
        <v>37</v>
      </c>
      <c r="E13" s="51" t="s">
        <v>107</v>
      </c>
      <c r="F13" s="51" t="s">
        <v>232</v>
      </c>
      <c r="G13" s="51" t="s">
        <v>109</v>
      </c>
      <c r="H13" s="47" t="s">
        <v>677</v>
      </c>
      <c r="J13" s="51" t="s">
        <v>112</v>
      </c>
      <c r="K13" s="51" t="s">
        <v>112</v>
      </c>
      <c r="L13" s="51" t="s">
        <v>112</v>
      </c>
      <c r="M13" s="47">
        <v>2033892</v>
      </c>
      <c r="N13" s="50" t="s">
        <v>679</v>
      </c>
      <c r="O13" s="55">
        <f>DATE(2016,10,17)</f>
        <v>42660</v>
      </c>
      <c r="P13" s="55">
        <f>DATE(2016,12,22)</f>
        <v>42726</v>
      </c>
      <c r="Q13" s="51">
        <v>184</v>
      </c>
      <c r="R13" s="49"/>
      <c r="S13" s="51">
        <v>1</v>
      </c>
      <c r="U13" s="47">
        <f t="shared" si="0"/>
        <v>67</v>
      </c>
      <c r="V13" s="31">
        <f t="shared" si="1"/>
        <v>2.7462686567164178</v>
      </c>
      <c r="W13" s="31">
        <f t="shared" si="2"/>
        <v>184</v>
      </c>
      <c r="X13" s="31">
        <f t="shared" si="3"/>
        <v>0.23</v>
      </c>
      <c r="Y13" s="31"/>
      <c r="Z13" s="31"/>
      <c r="AA13" s="32">
        <f t="shared" si="4"/>
        <v>42552</v>
      </c>
      <c r="AB13" s="77">
        <f t="shared" si="5"/>
        <v>42735</v>
      </c>
      <c r="AC13" s="50">
        <v>30</v>
      </c>
      <c r="AD13" s="47">
        <f t="shared" si="6"/>
        <v>0</v>
      </c>
      <c r="AE13" s="47">
        <f t="shared" si="7"/>
        <v>0</v>
      </c>
      <c r="AF13" s="47">
        <f t="shared" si="8"/>
        <v>0</v>
      </c>
      <c r="AG13" s="47">
        <f t="shared" si="9"/>
        <v>67</v>
      </c>
      <c r="AH13" s="47">
        <f t="shared" si="10"/>
        <v>0</v>
      </c>
      <c r="AI13" s="23">
        <f t="shared" si="11"/>
        <v>0.3641304347826087</v>
      </c>
      <c r="AJ13" s="23">
        <f t="shared" si="12"/>
        <v>8.3750000000000005E-2</v>
      </c>
      <c r="AK13" s="23">
        <f t="shared" si="13"/>
        <v>2.5125000000000002</v>
      </c>
      <c r="AL13" s="23">
        <f t="shared" si="14"/>
        <v>2.5125000000000002</v>
      </c>
      <c r="AM13" s="23">
        <f t="shared" si="15"/>
        <v>0</v>
      </c>
      <c r="AN13" s="23">
        <f t="shared" si="16"/>
        <v>2.5125000000000002</v>
      </c>
      <c r="AO13" s="23"/>
      <c r="AP13" s="23"/>
      <c r="AQ13" s="32">
        <f t="shared" si="17"/>
        <v>42736</v>
      </c>
      <c r="AR13" s="32">
        <f t="shared" si="18"/>
        <v>42916</v>
      </c>
      <c r="AS13" s="50">
        <v>23</v>
      </c>
      <c r="AT13" s="47">
        <f t="shared" si="19"/>
        <v>0</v>
      </c>
      <c r="AU13" s="47">
        <f t="shared" si="20"/>
        <v>0</v>
      </c>
      <c r="AV13" s="47">
        <f t="shared" si="21"/>
        <v>0</v>
      </c>
      <c r="AW13" s="47">
        <f t="shared" si="22"/>
        <v>0</v>
      </c>
      <c r="AX13" s="47">
        <f t="shared" si="23"/>
        <v>90.5</v>
      </c>
      <c r="AY13" s="23">
        <f t="shared" si="24"/>
        <v>0.5</v>
      </c>
      <c r="AZ13" s="23">
        <f t="shared" si="25"/>
        <v>0.115</v>
      </c>
      <c r="BA13" s="23">
        <f t="shared" si="26"/>
        <v>1.3225</v>
      </c>
      <c r="BB13" s="23">
        <f t="shared" si="27"/>
        <v>1.3225</v>
      </c>
      <c r="BC13" s="23">
        <f t="shared" si="28"/>
        <v>0</v>
      </c>
      <c r="BD13" s="23">
        <f t="shared" si="29"/>
        <v>1.3225</v>
      </c>
    </row>
    <row r="14" spans="1:57" s="47" customFormat="1">
      <c r="A14" s="47" t="s">
        <v>20</v>
      </c>
      <c r="B14" s="47" t="s">
        <v>36</v>
      </c>
      <c r="C14" s="47" t="s">
        <v>22</v>
      </c>
      <c r="D14" s="47" t="s">
        <v>37</v>
      </c>
      <c r="E14" s="51" t="s">
        <v>107</v>
      </c>
      <c r="F14" s="51" t="s">
        <v>232</v>
      </c>
      <c r="G14" s="51" t="s">
        <v>109</v>
      </c>
      <c r="H14" s="47" t="s">
        <v>680</v>
      </c>
      <c r="J14" s="51" t="s">
        <v>112</v>
      </c>
      <c r="K14" s="51" t="s">
        <v>112</v>
      </c>
      <c r="L14" s="51" t="s">
        <v>112</v>
      </c>
      <c r="M14" s="47">
        <v>2033944</v>
      </c>
      <c r="N14" s="50" t="s">
        <v>681</v>
      </c>
      <c r="O14" s="55">
        <f>DATE(2016,8,1)</f>
        <v>42583</v>
      </c>
      <c r="P14" s="55">
        <f>DATE(2016,12,6)</f>
        <v>42710</v>
      </c>
      <c r="Q14" s="51">
        <v>300</v>
      </c>
      <c r="R14" s="49"/>
      <c r="S14" s="51">
        <v>1</v>
      </c>
      <c r="U14" s="47">
        <f t="shared" si="0"/>
        <v>128</v>
      </c>
      <c r="V14" s="31">
        <f t="shared" si="1"/>
        <v>2.34375</v>
      </c>
      <c r="W14" s="31">
        <f t="shared" si="2"/>
        <v>300</v>
      </c>
      <c r="X14" s="31">
        <f t="shared" si="3"/>
        <v>0.375</v>
      </c>
      <c r="Y14" s="31"/>
      <c r="Z14" s="31"/>
      <c r="AA14" s="32">
        <f t="shared" si="4"/>
        <v>42552</v>
      </c>
      <c r="AB14" s="77">
        <f t="shared" si="5"/>
        <v>42735</v>
      </c>
      <c r="AC14" s="50">
        <v>30</v>
      </c>
      <c r="AD14" s="47">
        <f t="shared" si="6"/>
        <v>0</v>
      </c>
      <c r="AE14" s="47">
        <f t="shared" si="7"/>
        <v>0</v>
      </c>
      <c r="AF14" s="47">
        <f t="shared" si="8"/>
        <v>0</v>
      </c>
      <c r="AG14" s="47">
        <f t="shared" si="9"/>
        <v>128</v>
      </c>
      <c r="AH14" s="47">
        <f t="shared" si="10"/>
        <v>0</v>
      </c>
      <c r="AI14" s="23">
        <f t="shared" si="11"/>
        <v>0.69565217391304346</v>
      </c>
      <c r="AJ14" s="23">
        <f t="shared" si="12"/>
        <v>0.2608695652173913</v>
      </c>
      <c r="AK14" s="23">
        <f t="shared" si="13"/>
        <v>7.8260869565217392</v>
      </c>
      <c r="AL14" s="23">
        <f t="shared" si="14"/>
        <v>7.8260869565217392</v>
      </c>
      <c r="AM14" s="23">
        <f t="shared" si="15"/>
        <v>0</v>
      </c>
      <c r="AN14" s="23">
        <f t="shared" si="16"/>
        <v>7.8260869565217392</v>
      </c>
      <c r="AO14" s="23"/>
      <c r="AP14" s="23"/>
      <c r="AQ14" s="32">
        <f t="shared" si="17"/>
        <v>42736</v>
      </c>
      <c r="AR14" s="32">
        <f t="shared" si="18"/>
        <v>42916</v>
      </c>
      <c r="AS14" s="50">
        <v>12</v>
      </c>
      <c r="AT14" s="47">
        <f t="shared" si="19"/>
        <v>0</v>
      </c>
      <c r="AU14" s="47">
        <f t="shared" si="20"/>
        <v>0</v>
      </c>
      <c r="AV14" s="47">
        <f t="shared" si="21"/>
        <v>0</v>
      </c>
      <c r="AW14" s="47">
        <f t="shared" si="22"/>
        <v>0</v>
      </c>
      <c r="AX14" s="47">
        <f t="shared" si="23"/>
        <v>90.5</v>
      </c>
      <c r="AY14" s="23">
        <f t="shared" si="24"/>
        <v>0.5</v>
      </c>
      <c r="AZ14" s="23">
        <f t="shared" si="25"/>
        <v>0.1875</v>
      </c>
      <c r="BA14" s="23">
        <f t="shared" si="26"/>
        <v>1.125</v>
      </c>
      <c r="BB14" s="23">
        <f t="shared" si="27"/>
        <v>1.125</v>
      </c>
      <c r="BC14" s="23">
        <f t="shared" si="28"/>
        <v>0</v>
      </c>
      <c r="BD14" s="23">
        <f t="shared" si="29"/>
        <v>1.125</v>
      </c>
    </row>
    <row r="15" spans="1:57" s="47" customFormat="1">
      <c r="A15" s="47" t="s">
        <v>20</v>
      </c>
      <c r="B15" s="47" t="s">
        <v>36</v>
      </c>
      <c r="C15" s="47" t="s">
        <v>22</v>
      </c>
      <c r="D15" s="47" t="s">
        <v>37</v>
      </c>
      <c r="E15" s="51" t="s">
        <v>107</v>
      </c>
      <c r="F15" s="51" t="s">
        <v>232</v>
      </c>
      <c r="G15" s="51" t="s">
        <v>109</v>
      </c>
      <c r="H15" s="47" t="s">
        <v>680</v>
      </c>
      <c r="J15" s="51" t="s">
        <v>112</v>
      </c>
      <c r="K15" s="51" t="s">
        <v>112</v>
      </c>
      <c r="L15" s="51" t="s">
        <v>112</v>
      </c>
      <c r="M15" s="47">
        <v>2033967</v>
      </c>
      <c r="N15" s="51" t="s">
        <v>682</v>
      </c>
      <c r="O15" s="55">
        <f>DATE(2016,11,14)</f>
        <v>42688</v>
      </c>
      <c r="P15" s="55">
        <f>DATE(2017,2,7)</f>
        <v>42773</v>
      </c>
      <c r="Q15" s="51">
        <v>300</v>
      </c>
      <c r="R15" s="49"/>
      <c r="S15" s="51">
        <v>1</v>
      </c>
      <c r="U15" s="47">
        <f t="shared" si="0"/>
        <v>86</v>
      </c>
      <c r="V15" s="31">
        <f t="shared" si="1"/>
        <v>3.4883720930232558</v>
      </c>
      <c r="W15" s="31">
        <f t="shared" si="2"/>
        <v>300</v>
      </c>
      <c r="X15" s="31">
        <f t="shared" si="3"/>
        <v>0.375</v>
      </c>
      <c r="Y15" s="31"/>
      <c r="Z15" s="31"/>
      <c r="AA15" s="32">
        <f t="shared" si="4"/>
        <v>42552</v>
      </c>
      <c r="AB15" s="77">
        <f t="shared" si="5"/>
        <v>42735</v>
      </c>
      <c r="AC15" s="51">
        <v>30</v>
      </c>
      <c r="AD15" s="47">
        <f t="shared" si="6"/>
        <v>0</v>
      </c>
      <c r="AE15" s="47">
        <f t="shared" si="7"/>
        <v>48</v>
      </c>
      <c r="AF15" s="47">
        <f t="shared" si="8"/>
        <v>0</v>
      </c>
      <c r="AG15" s="47">
        <f t="shared" si="9"/>
        <v>0</v>
      </c>
      <c r="AH15" s="47">
        <f t="shared" si="10"/>
        <v>0</v>
      </c>
      <c r="AI15" s="23">
        <f t="shared" si="11"/>
        <v>0.2608695652173913</v>
      </c>
      <c r="AJ15" s="23">
        <f t="shared" si="12"/>
        <v>9.7826086956521729E-2</v>
      </c>
      <c r="AK15" s="23">
        <f t="shared" si="13"/>
        <v>2.9347826086956519</v>
      </c>
      <c r="AL15" s="23">
        <f t="shared" si="14"/>
        <v>2.9347826086956519</v>
      </c>
      <c r="AM15" s="23">
        <f t="shared" si="15"/>
        <v>0</v>
      </c>
      <c r="AN15" s="23">
        <f t="shared" si="16"/>
        <v>2.9347826086956519</v>
      </c>
      <c r="AO15" s="23"/>
      <c r="AP15" s="23"/>
      <c r="AQ15" s="32">
        <f t="shared" si="17"/>
        <v>42736</v>
      </c>
      <c r="AR15" s="32">
        <f t="shared" si="18"/>
        <v>42916</v>
      </c>
      <c r="AS15" s="51">
        <v>35</v>
      </c>
      <c r="AT15" s="47">
        <f t="shared" si="19"/>
        <v>0</v>
      </c>
      <c r="AU15" s="47">
        <f t="shared" si="20"/>
        <v>0</v>
      </c>
      <c r="AV15" s="47">
        <f t="shared" si="21"/>
        <v>38</v>
      </c>
      <c r="AW15" s="47">
        <f t="shared" si="22"/>
        <v>0</v>
      </c>
      <c r="AX15" s="47">
        <f t="shared" si="23"/>
        <v>0</v>
      </c>
      <c r="AY15" s="23">
        <f t="shared" si="24"/>
        <v>0.20994475138121546</v>
      </c>
      <c r="AZ15" s="23">
        <f t="shared" si="25"/>
        <v>7.8729281767955794E-2</v>
      </c>
      <c r="BA15" s="23">
        <f t="shared" si="26"/>
        <v>2.7555248618784529</v>
      </c>
      <c r="BB15" s="23">
        <f t="shared" si="27"/>
        <v>2.7555248618784529</v>
      </c>
      <c r="BC15" s="23">
        <f t="shared" si="28"/>
        <v>0</v>
      </c>
      <c r="BD15" s="23">
        <f t="shared" si="29"/>
        <v>2.7555248618784529</v>
      </c>
    </row>
    <row r="16" spans="1:57" s="47" customFormat="1">
      <c r="A16" s="47" t="s">
        <v>20</v>
      </c>
      <c r="B16" s="47" t="s">
        <v>36</v>
      </c>
      <c r="C16" s="47" t="s">
        <v>22</v>
      </c>
      <c r="D16" s="47" t="s">
        <v>37</v>
      </c>
      <c r="E16" s="51" t="s">
        <v>107</v>
      </c>
      <c r="F16" s="51" t="s">
        <v>232</v>
      </c>
      <c r="G16" s="51" t="s">
        <v>109</v>
      </c>
      <c r="H16" s="47" t="s">
        <v>683</v>
      </c>
      <c r="I16" s="47" t="s">
        <v>147</v>
      </c>
      <c r="J16" s="51" t="s">
        <v>112</v>
      </c>
      <c r="K16" s="51" t="s">
        <v>112</v>
      </c>
      <c r="L16" s="51" t="s">
        <v>112</v>
      </c>
      <c r="M16" s="47">
        <v>2033975</v>
      </c>
      <c r="N16" s="50" t="s">
        <v>684</v>
      </c>
      <c r="O16" s="55">
        <f>DATE(2016,8,1)</f>
        <v>42583</v>
      </c>
      <c r="P16" s="55">
        <f>DATE(2016,10,28)</f>
        <v>42671</v>
      </c>
      <c r="Q16" s="51">
        <v>200</v>
      </c>
      <c r="R16" s="49"/>
      <c r="S16" s="51">
        <v>1</v>
      </c>
      <c r="U16" s="47">
        <f t="shared" si="0"/>
        <v>89</v>
      </c>
      <c r="V16" s="31">
        <f t="shared" si="1"/>
        <v>2.2471910112359552</v>
      </c>
      <c r="W16" s="31">
        <f t="shared" si="2"/>
        <v>200</v>
      </c>
      <c r="X16" s="31">
        <f t="shared" si="3"/>
        <v>0.25</v>
      </c>
      <c r="Y16" s="31"/>
      <c r="Z16" s="31"/>
      <c r="AA16" s="32">
        <f t="shared" si="4"/>
        <v>42552</v>
      </c>
      <c r="AB16" s="77">
        <f t="shared" si="5"/>
        <v>42735</v>
      </c>
      <c r="AC16" s="50">
        <v>24</v>
      </c>
      <c r="AD16" s="47">
        <f t="shared" si="6"/>
        <v>0</v>
      </c>
      <c r="AE16" s="47">
        <f t="shared" si="7"/>
        <v>0</v>
      </c>
      <c r="AF16" s="47">
        <f t="shared" si="8"/>
        <v>0</v>
      </c>
      <c r="AG16" s="47">
        <f t="shared" si="9"/>
        <v>89</v>
      </c>
      <c r="AH16" s="47">
        <f t="shared" si="10"/>
        <v>0</v>
      </c>
      <c r="AI16" s="23">
        <f t="shared" si="11"/>
        <v>0.48369565217391303</v>
      </c>
      <c r="AJ16" s="23">
        <f t="shared" si="12"/>
        <v>0.12092391304347826</v>
      </c>
      <c r="AK16" s="23">
        <f t="shared" si="13"/>
        <v>2.902173913043478</v>
      </c>
      <c r="AL16" s="23">
        <f t="shared" si="14"/>
        <v>2.902173913043478</v>
      </c>
      <c r="AM16" s="23">
        <f t="shared" si="15"/>
        <v>0</v>
      </c>
      <c r="AN16" s="23">
        <f t="shared" si="16"/>
        <v>2.902173913043478</v>
      </c>
      <c r="AO16" s="23"/>
      <c r="AP16" s="23"/>
      <c r="AQ16" s="32">
        <f t="shared" si="17"/>
        <v>42736</v>
      </c>
      <c r="AR16" s="32">
        <f t="shared" si="18"/>
        <v>42916</v>
      </c>
      <c r="AS16" s="50">
        <v>22</v>
      </c>
      <c r="AT16" s="47">
        <f t="shared" si="19"/>
        <v>0</v>
      </c>
      <c r="AU16" s="47">
        <f t="shared" si="20"/>
        <v>0</v>
      </c>
      <c r="AV16" s="47">
        <f t="shared" si="21"/>
        <v>0</v>
      </c>
      <c r="AW16" s="47">
        <f t="shared" si="22"/>
        <v>0</v>
      </c>
      <c r="AX16" s="47">
        <f t="shared" si="23"/>
        <v>90.5</v>
      </c>
      <c r="AY16" s="23">
        <f t="shared" si="24"/>
        <v>0.5</v>
      </c>
      <c r="AZ16" s="23">
        <f t="shared" si="25"/>
        <v>0.125</v>
      </c>
      <c r="BA16" s="23">
        <f t="shared" si="26"/>
        <v>1.375</v>
      </c>
      <c r="BB16" s="23">
        <f t="shared" si="27"/>
        <v>1.375</v>
      </c>
      <c r="BC16" s="23">
        <f t="shared" si="28"/>
        <v>0</v>
      </c>
      <c r="BD16" s="23">
        <f t="shared" si="29"/>
        <v>1.375</v>
      </c>
    </row>
    <row r="17" spans="1:56" s="47" customFormat="1">
      <c r="A17" s="47" t="s">
        <v>20</v>
      </c>
      <c r="B17" s="47" t="s">
        <v>36</v>
      </c>
      <c r="C17" s="47" t="s">
        <v>22</v>
      </c>
      <c r="D17" s="47" t="s">
        <v>37</v>
      </c>
      <c r="E17" s="51" t="s">
        <v>107</v>
      </c>
      <c r="F17" s="51" t="s">
        <v>232</v>
      </c>
      <c r="G17" s="51" t="s">
        <v>109</v>
      </c>
      <c r="H17" s="47" t="s">
        <v>242</v>
      </c>
      <c r="I17" s="47" t="s">
        <v>111</v>
      </c>
      <c r="J17" s="51" t="s">
        <v>112</v>
      </c>
      <c r="K17" s="51" t="s">
        <v>112</v>
      </c>
      <c r="L17" s="51" t="s">
        <v>112</v>
      </c>
      <c r="M17" s="47">
        <v>2033987</v>
      </c>
      <c r="N17" s="56" t="s">
        <v>685</v>
      </c>
      <c r="O17" s="55">
        <f>DATE(2016,8,1)</f>
        <v>42583</v>
      </c>
      <c r="P17" s="55">
        <f>DATE(2016,9,27)</f>
        <v>42640</v>
      </c>
      <c r="Q17" s="51">
        <v>160</v>
      </c>
      <c r="R17" s="49"/>
      <c r="S17" s="51">
        <v>1</v>
      </c>
      <c r="U17" s="47">
        <f t="shared" si="0"/>
        <v>58</v>
      </c>
      <c r="V17" s="31">
        <f t="shared" si="1"/>
        <v>2.7586206896551726</v>
      </c>
      <c r="W17" s="31">
        <f t="shared" si="2"/>
        <v>160</v>
      </c>
      <c r="X17" s="31">
        <f t="shared" si="3"/>
        <v>0.2</v>
      </c>
      <c r="Y17" s="31"/>
      <c r="Z17" s="31"/>
      <c r="AA17" s="32">
        <f t="shared" si="4"/>
        <v>42552</v>
      </c>
      <c r="AB17" s="77">
        <f t="shared" si="5"/>
        <v>42735</v>
      </c>
      <c r="AC17" s="50">
        <v>30</v>
      </c>
      <c r="AD17" s="47">
        <f t="shared" si="6"/>
        <v>0</v>
      </c>
      <c r="AE17" s="47">
        <f t="shared" si="7"/>
        <v>0</v>
      </c>
      <c r="AF17" s="47">
        <f t="shared" si="8"/>
        <v>0</v>
      </c>
      <c r="AG17" s="47">
        <f t="shared" si="9"/>
        <v>58</v>
      </c>
      <c r="AH17" s="47">
        <f t="shared" si="10"/>
        <v>0</v>
      </c>
      <c r="AI17" s="23">
        <f t="shared" si="11"/>
        <v>0.31521739130434784</v>
      </c>
      <c r="AJ17" s="23">
        <f t="shared" si="12"/>
        <v>6.3043478260869576E-2</v>
      </c>
      <c r="AK17" s="23">
        <f t="shared" si="13"/>
        <v>1.8913043478260874</v>
      </c>
      <c r="AL17" s="23">
        <f t="shared" si="14"/>
        <v>1.8913043478260874</v>
      </c>
      <c r="AM17" s="23">
        <f t="shared" si="15"/>
        <v>0</v>
      </c>
      <c r="AN17" s="23">
        <f t="shared" si="16"/>
        <v>1.8913043478260874</v>
      </c>
      <c r="AO17" s="23"/>
      <c r="AP17" s="23"/>
      <c r="AQ17" s="32">
        <f t="shared" si="17"/>
        <v>42736</v>
      </c>
      <c r="AR17" s="32">
        <f t="shared" si="18"/>
        <v>42916</v>
      </c>
      <c r="AS17" s="56">
        <v>0</v>
      </c>
      <c r="AT17" s="47">
        <f t="shared" si="19"/>
        <v>0</v>
      </c>
      <c r="AU17" s="47">
        <f t="shared" si="20"/>
        <v>0</v>
      </c>
      <c r="AV17" s="47">
        <f t="shared" si="21"/>
        <v>0</v>
      </c>
      <c r="AW17" s="47">
        <f t="shared" si="22"/>
        <v>0</v>
      </c>
      <c r="AX17" s="47">
        <f t="shared" si="23"/>
        <v>90.5</v>
      </c>
      <c r="AY17" s="23">
        <f t="shared" si="24"/>
        <v>0.5</v>
      </c>
      <c r="AZ17" s="23">
        <f t="shared" si="25"/>
        <v>0.1</v>
      </c>
      <c r="BA17" s="23">
        <f t="shared" si="26"/>
        <v>0</v>
      </c>
      <c r="BB17" s="23">
        <f t="shared" si="27"/>
        <v>0</v>
      </c>
      <c r="BC17" s="23">
        <f t="shared" si="28"/>
        <v>0</v>
      </c>
      <c r="BD17" s="23">
        <f t="shared" si="29"/>
        <v>0</v>
      </c>
    </row>
    <row r="18" spans="1:56" s="47" customFormat="1">
      <c r="A18" s="47" t="s">
        <v>20</v>
      </c>
      <c r="B18" s="47" t="s">
        <v>36</v>
      </c>
      <c r="C18" s="47" t="s">
        <v>22</v>
      </c>
      <c r="D18" s="47" t="s">
        <v>37</v>
      </c>
      <c r="E18" s="51" t="s">
        <v>107</v>
      </c>
      <c r="F18" s="51" t="s">
        <v>232</v>
      </c>
      <c r="G18" s="51" t="s">
        <v>109</v>
      </c>
      <c r="H18" s="47" t="s">
        <v>242</v>
      </c>
      <c r="I18" s="47" t="s">
        <v>111</v>
      </c>
      <c r="J18" s="51" t="s">
        <v>112</v>
      </c>
      <c r="K18" s="51" t="s">
        <v>112</v>
      </c>
      <c r="L18" s="51" t="s">
        <v>112</v>
      </c>
      <c r="M18" s="47">
        <v>2033994</v>
      </c>
      <c r="N18" s="50" t="s">
        <v>686</v>
      </c>
      <c r="O18" s="55">
        <f>DATE(2016,10,3)</f>
        <v>42646</v>
      </c>
      <c r="P18" s="55">
        <f>DATE(2016,12,2)</f>
        <v>42706</v>
      </c>
      <c r="Q18" s="51">
        <v>160</v>
      </c>
      <c r="R18" s="49"/>
      <c r="S18" s="51">
        <v>1</v>
      </c>
      <c r="U18" s="47">
        <f t="shared" si="0"/>
        <v>61</v>
      </c>
      <c r="V18" s="31">
        <f t="shared" si="1"/>
        <v>2.622950819672131</v>
      </c>
      <c r="W18" s="31">
        <f t="shared" si="2"/>
        <v>160</v>
      </c>
      <c r="X18" s="31">
        <f t="shared" si="3"/>
        <v>0.2</v>
      </c>
      <c r="Y18" s="31"/>
      <c r="Z18" s="31"/>
      <c r="AA18" s="32">
        <f t="shared" si="4"/>
        <v>42552</v>
      </c>
      <c r="AB18" s="77">
        <f t="shared" si="5"/>
        <v>42735</v>
      </c>
      <c r="AC18" s="50">
        <v>26</v>
      </c>
      <c r="AD18" s="47">
        <f t="shared" si="6"/>
        <v>0</v>
      </c>
      <c r="AE18" s="47">
        <f t="shared" si="7"/>
        <v>0</v>
      </c>
      <c r="AF18" s="47">
        <f t="shared" si="8"/>
        <v>0</v>
      </c>
      <c r="AG18" s="47">
        <f t="shared" si="9"/>
        <v>61</v>
      </c>
      <c r="AH18" s="47">
        <f t="shared" si="10"/>
        <v>0</v>
      </c>
      <c r="AI18" s="23">
        <f t="shared" si="11"/>
        <v>0.33152173913043476</v>
      </c>
      <c r="AJ18" s="23">
        <f t="shared" si="12"/>
        <v>6.6304347826086948E-2</v>
      </c>
      <c r="AK18" s="23">
        <f t="shared" si="13"/>
        <v>1.7239130434782606</v>
      </c>
      <c r="AL18" s="23">
        <f t="shared" si="14"/>
        <v>1.7239130434782606</v>
      </c>
      <c r="AM18" s="23">
        <f t="shared" si="15"/>
        <v>0</v>
      </c>
      <c r="AN18" s="23">
        <f t="shared" si="16"/>
        <v>1.7239130434782606</v>
      </c>
      <c r="AO18" s="23"/>
      <c r="AP18" s="23"/>
      <c r="AQ18" s="32">
        <f t="shared" si="17"/>
        <v>42736</v>
      </c>
      <c r="AR18" s="32">
        <f t="shared" si="18"/>
        <v>42916</v>
      </c>
      <c r="AS18" s="50">
        <v>25</v>
      </c>
      <c r="AT18" s="47">
        <f t="shared" si="19"/>
        <v>0</v>
      </c>
      <c r="AU18" s="47">
        <f t="shared" si="20"/>
        <v>0</v>
      </c>
      <c r="AV18" s="47">
        <f t="shared" si="21"/>
        <v>0</v>
      </c>
      <c r="AW18" s="47">
        <f t="shared" si="22"/>
        <v>0</v>
      </c>
      <c r="AX18" s="47">
        <f t="shared" si="23"/>
        <v>90.5</v>
      </c>
      <c r="AY18" s="23">
        <f t="shared" si="24"/>
        <v>0.5</v>
      </c>
      <c r="AZ18" s="23">
        <f t="shared" si="25"/>
        <v>0.1</v>
      </c>
      <c r="BA18" s="23">
        <f t="shared" si="26"/>
        <v>1.25</v>
      </c>
      <c r="BB18" s="23">
        <f t="shared" si="27"/>
        <v>1.25</v>
      </c>
      <c r="BC18" s="23">
        <f t="shared" si="28"/>
        <v>0</v>
      </c>
      <c r="BD18" s="23">
        <f t="shared" si="29"/>
        <v>1.25</v>
      </c>
    </row>
    <row r="19" spans="1:56" s="47" customFormat="1">
      <c r="A19" s="47" t="s">
        <v>20</v>
      </c>
      <c r="B19" s="47" t="s">
        <v>36</v>
      </c>
      <c r="C19" s="47" t="s">
        <v>22</v>
      </c>
      <c r="D19" s="47" t="s">
        <v>37</v>
      </c>
      <c r="E19" s="51" t="s">
        <v>107</v>
      </c>
      <c r="F19" s="51" t="s">
        <v>232</v>
      </c>
      <c r="G19" s="51" t="s">
        <v>109</v>
      </c>
      <c r="H19" s="47" t="s">
        <v>687</v>
      </c>
      <c r="I19" s="47" t="s">
        <v>111</v>
      </c>
      <c r="J19" s="51" t="s">
        <v>112</v>
      </c>
      <c r="K19" s="51" t="s">
        <v>112</v>
      </c>
      <c r="L19" s="51" t="s">
        <v>112</v>
      </c>
      <c r="M19" s="47">
        <v>2034002</v>
      </c>
      <c r="N19" s="50" t="s">
        <v>688</v>
      </c>
      <c r="O19" s="55">
        <f>DATE(2016,8,1)</f>
        <v>42583</v>
      </c>
      <c r="P19" s="55">
        <f>DATE(2016,9,27)</f>
        <v>42640</v>
      </c>
      <c r="Q19" s="51">
        <v>160</v>
      </c>
      <c r="R19" s="49"/>
      <c r="S19" s="51">
        <v>1</v>
      </c>
      <c r="U19" s="47">
        <f t="shared" si="0"/>
        <v>58</v>
      </c>
      <c r="V19" s="31">
        <f t="shared" si="1"/>
        <v>2.7586206896551726</v>
      </c>
      <c r="W19" s="31">
        <f t="shared" si="2"/>
        <v>160</v>
      </c>
      <c r="X19" s="31">
        <f t="shared" si="3"/>
        <v>0.2</v>
      </c>
      <c r="Y19" s="31"/>
      <c r="Z19" s="31"/>
      <c r="AA19" s="32">
        <f t="shared" si="4"/>
        <v>42552</v>
      </c>
      <c r="AB19" s="77">
        <f t="shared" si="5"/>
        <v>42735</v>
      </c>
      <c r="AC19" s="50">
        <v>30</v>
      </c>
      <c r="AD19" s="47">
        <f t="shared" si="6"/>
        <v>0</v>
      </c>
      <c r="AE19" s="47">
        <f t="shared" si="7"/>
        <v>0</v>
      </c>
      <c r="AF19" s="47">
        <f t="shared" si="8"/>
        <v>0</v>
      </c>
      <c r="AG19" s="47">
        <f t="shared" si="9"/>
        <v>58</v>
      </c>
      <c r="AH19" s="47">
        <f t="shared" si="10"/>
        <v>0</v>
      </c>
      <c r="AI19" s="23">
        <f t="shared" si="11"/>
        <v>0.31521739130434784</v>
      </c>
      <c r="AJ19" s="23">
        <f t="shared" si="12"/>
        <v>6.3043478260869576E-2</v>
      </c>
      <c r="AK19" s="23">
        <f t="shared" si="13"/>
        <v>1.8913043478260874</v>
      </c>
      <c r="AL19" s="23">
        <f t="shared" si="14"/>
        <v>1.8913043478260874</v>
      </c>
      <c r="AM19" s="23">
        <f t="shared" si="15"/>
        <v>0</v>
      </c>
      <c r="AN19" s="23">
        <f t="shared" si="16"/>
        <v>1.8913043478260874</v>
      </c>
      <c r="AO19" s="23"/>
      <c r="AP19" s="23"/>
      <c r="AQ19" s="32">
        <f t="shared" si="17"/>
        <v>42736</v>
      </c>
      <c r="AR19" s="32">
        <f t="shared" si="18"/>
        <v>42916</v>
      </c>
      <c r="AS19" s="50">
        <v>4</v>
      </c>
      <c r="AT19" s="47">
        <f t="shared" si="19"/>
        <v>0</v>
      </c>
      <c r="AU19" s="47">
        <f t="shared" si="20"/>
        <v>0</v>
      </c>
      <c r="AV19" s="47">
        <f t="shared" si="21"/>
        <v>0</v>
      </c>
      <c r="AW19" s="47">
        <f t="shared" si="22"/>
        <v>0</v>
      </c>
      <c r="AX19" s="47">
        <f t="shared" si="23"/>
        <v>90.5</v>
      </c>
      <c r="AY19" s="23">
        <f t="shared" si="24"/>
        <v>0.5</v>
      </c>
      <c r="AZ19" s="23">
        <f t="shared" si="25"/>
        <v>0.1</v>
      </c>
      <c r="BA19" s="23">
        <f t="shared" si="26"/>
        <v>0.2</v>
      </c>
      <c r="BB19" s="23">
        <f t="shared" si="27"/>
        <v>0.2</v>
      </c>
      <c r="BC19" s="23">
        <f t="shared" si="28"/>
        <v>0</v>
      </c>
      <c r="BD19" s="23">
        <f t="shared" si="29"/>
        <v>0.2</v>
      </c>
    </row>
    <row r="20" spans="1:56" s="47" customFormat="1">
      <c r="A20" s="47" t="s">
        <v>20</v>
      </c>
      <c r="B20" s="47" t="s">
        <v>36</v>
      </c>
      <c r="C20" s="47" t="s">
        <v>22</v>
      </c>
      <c r="D20" s="47" t="s">
        <v>37</v>
      </c>
      <c r="E20" s="51" t="s">
        <v>107</v>
      </c>
      <c r="F20" s="51" t="s">
        <v>232</v>
      </c>
      <c r="G20" s="51" t="s">
        <v>109</v>
      </c>
      <c r="H20" s="47" t="s">
        <v>687</v>
      </c>
      <c r="I20" s="47" t="s">
        <v>111</v>
      </c>
      <c r="J20" s="51" t="s">
        <v>112</v>
      </c>
      <c r="K20" s="51" t="s">
        <v>112</v>
      </c>
      <c r="L20" s="51" t="s">
        <v>112</v>
      </c>
      <c r="M20" s="47">
        <v>2034008</v>
      </c>
      <c r="N20" s="50" t="s">
        <v>689</v>
      </c>
      <c r="O20" s="55">
        <f>DATE(2016,10,3)</f>
        <v>42646</v>
      </c>
      <c r="P20" s="55">
        <f>DATE(2016,12,2)</f>
        <v>42706</v>
      </c>
      <c r="Q20" s="51">
        <v>160</v>
      </c>
      <c r="R20" s="49"/>
      <c r="S20" s="51">
        <v>1</v>
      </c>
      <c r="U20" s="47">
        <f t="shared" si="0"/>
        <v>61</v>
      </c>
      <c r="V20" s="31">
        <f t="shared" si="1"/>
        <v>2.622950819672131</v>
      </c>
      <c r="W20" s="31">
        <f t="shared" si="2"/>
        <v>160</v>
      </c>
      <c r="X20" s="31">
        <f t="shared" si="3"/>
        <v>0.2</v>
      </c>
      <c r="Y20" s="31"/>
      <c r="Z20" s="31"/>
      <c r="AA20" s="32">
        <f t="shared" si="4"/>
        <v>42552</v>
      </c>
      <c r="AB20" s="77">
        <f t="shared" si="5"/>
        <v>42735</v>
      </c>
      <c r="AC20" s="50">
        <v>30</v>
      </c>
      <c r="AD20" s="47">
        <f t="shared" si="6"/>
        <v>0</v>
      </c>
      <c r="AE20" s="47">
        <f t="shared" si="7"/>
        <v>0</v>
      </c>
      <c r="AF20" s="47">
        <f t="shared" si="8"/>
        <v>0</v>
      </c>
      <c r="AG20" s="47">
        <f t="shared" si="9"/>
        <v>61</v>
      </c>
      <c r="AH20" s="47">
        <f t="shared" si="10"/>
        <v>0</v>
      </c>
      <c r="AI20" s="23">
        <f t="shared" si="11"/>
        <v>0.33152173913043476</v>
      </c>
      <c r="AJ20" s="23">
        <f t="shared" si="12"/>
        <v>6.6304347826086948E-2</v>
      </c>
      <c r="AK20" s="23">
        <f t="shared" si="13"/>
        <v>1.9891304347826084</v>
      </c>
      <c r="AL20" s="23">
        <f t="shared" si="14"/>
        <v>1.9891304347826084</v>
      </c>
      <c r="AM20" s="23">
        <f t="shared" si="15"/>
        <v>0</v>
      </c>
      <c r="AN20" s="23">
        <f t="shared" si="16"/>
        <v>1.9891304347826084</v>
      </c>
      <c r="AO20" s="23"/>
      <c r="AP20" s="23"/>
      <c r="AQ20" s="32">
        <f t="shared" si="17"/>
        <v>42736</v>
      </c>
      <c r="AR20" s="32">
        <f t="shared" si="18"/>
        <v>42916</v>
      </c>
      <c r="AS20" s="50">
        <v>23</v>
      </c>
      <c r="AT20" s="47">
        <f t="shared" si="19"/>
        <v>0</v>
      </c>
      <c r="AU20" s="47">
        <f t="shared" si="20"/>
        <v>0</v>
      </c>
      <c r="AV20" s="47">
        <f t="shared" si="21"/>
        <v>0</v>
      </c>
      <c r="AW20" s="47">
        <f t="shared" si="22"/>
        <v>0</v>
      </c>
      <c r="AX20" s="47">
        <f t="shared" si="23"/>
        <v>90.5</v>
      </c>
      <c r="AY20" s="23">
        <f t="shared" si="24"/>
        <v>0.5</v>
      </c>
      <c r="AZ20" s="23">
        <f t="shared" si="25"/>
        <v>0.1</v>
      </c>
      <c r="BA20" s="23">
        <f t="shared" si="26"/>
        <v>1.1500000000000001</v>
      </c>
      <c r="BB20" s="23">
        <f t="shared" si="27"/>
        <v>1.1500000000000001</v>
      </c>
      <c r="BC20" s="23">
        <f t="shared" si="28"/>
        <v>0</v>
      </c>
      <c r="BD20" s="23">
        <f t="shared" si="29"/>
        <v>1.1500000000000001</v>
      </c>
    </row>
    <row r="21" spans="1:56" s="47" customFormat="1">
      <c r="A21" s="47" t="s">
        <v>20</v>
      </c>
      <c r="B21" s="47" t="s">
        <v>36</v>
      </c>
      <c r="C21" s="47" t="s">
        <v>22</v>
      </c>
      <c r="D21" s="47" t="s">
        <v>37</v>
      </c>
      <c r="E21" s="51" t="s">
        <v>107</v>
      </c>
      <c r="F21" s="51" t="s">
        <v>232</v>
      </c>
      <c r="G21" s="51" t="s">
        <v>109</v>
      </c>
      <c r="H21" s="47" t="s">
        <v>683</v>
      </c>
      <c r="I21" s="47" t="s">
        <v>147</v>
      </c>
      <c r="J21" s="51" t="s">
        <v>112</v>
      </c>
      <c r="K21" s="51" t="s">
        <v>112</v>
      </c>
      <c r="L21" s="51" t="s">
        <v>112</v>
      </c>
      <c r="M21" s="47">
        <v>2034995</v>
      </c>
      <c r="N21" s="51" t="s">
        <v>690</v>
      </c>
      <c r="O21" s="55">
        <f>DATE(2016,10,31)</f>
        <v>42674</v>
      </c>
      <c r="P21" s="55">
        <f>DATE(2017,2,17)</f>
        <v>42783</v>
      </c>
      <c r="Q21" s="51">
        <v>200</v>
      </c>
      <c r="R21" s="49"/>
      <c r="S21" s="51">
        <v>1</v>
      </c>
      <c r="U21" s="47">
        <f t="shared" si="0"/>
        <v>110</v>
      </c>
      <c r="V21" s="31">
        <f t="shared" si="1"/>
        <v>1.8181818181818181</v>
      </c>
      <c r="W21" s="31">
        <f t="shared" si="2"/>
        <v>200</v>
      </c>
      <c r="X21" s="31">
        <f t="shared" si="3"/>
        <v>0.25</v>
      </c>
      <c r="Y21" s="31"/>
      <c r="Z21" s="31"/>
      <c r="AA21" s="32">
        <f t="shared" si="4"/>
        <v>42552</v>
      </c>
      <c r="AB21" s="77">
        <f t="shared" si="5"/>
        <v>42735</v>
      </c>
      <c r="AC21" s="51">
        <v>17</v>
      </c>
      <c r="AD21" s="47">
        <f t="shared" si="6"/>
        <v>0</v>
      </c>
      <c r="AE21" s="47">
        <f t="shared" si="7"/>
        <v>62</v>
      </c>
      <c r="AF21" s="47">
        <f t="shared" si="8"/>
        <v>0</v>
      </c>
      <c r="AG21" s="47">
        <f t="shared" si="9"/>
        <v>0</v>
      </c>
      <c r="AH21" s="47">
        <f t="shared" si="10"/>
        <v>0</v>
      </c>
      <c r="AI21" s="23">
        <f t="shared" si="11"/>
        <v>0.33695652173913043</v>
      </c>
      <c r="AJ21" s="23">
        <f t="shared" si="12"/>
        <v>8.4239130434782608E-2</v>
      </c>
      <c r="AK21" s="23">
        <f t="shared" si="13"/>
        <v>1.4320652173913044</v>
      </c>
      <c r="AL21" s="23">
        <f t="shared" si="14"/>
        <v>1.4320652173913044</v>
      </c>
      <c r="AM21" s="23">
        <f t="shared" si="15"/>
        <v>0</v>
      </c>
      <c r="AN21" s="23">
        <f t="shared" si="16"/>
        <v>1.4320652173913044</v>
      </c>
      <c r="AO21" s="23"/>
      <c r="AP21" s="23"/>
      <c r="AQ21" s="32">
        <f t="shared" si="17"/>
        <v>42736</v>
      </c>
      <c r="AR21" s="32">
        <f t="shared" si="18"/>
        <v>42916</v>
      </c>
      <c r="AS21" s="51">
        <v>17</v>
      </c>
      <c r="AT21" s="47">
        <f t="shared" si="19"/>
        <v>0</v>
      </c>
      <c r="AU21" s="47">
        <f t="shared" si="20"/>
        <v>0</v>
      </c>
      <c r="AV21" s="47">
        <f t="shared" si="21"/>
        <v>48</v>
      </c>
      <c r="AW21" s="47">
        <f t="shared" si="22"/>
        <v>0</v>
      </c>
      <c r="AX21" s="47">
        <f t="shared" si="23"/>
        <v>0</v>
      </c>
      <c r="AY21" s="23">
        <f t="shared" si="24"/>
        <v>0.26519337016574585</v>
      </c>
      <c r="AZ21" s="23">
        <f t="shared" si="25"/>
        <v>6.6298342541436461E-2</v>
      </c>
      <c r="BA21" s="23">
        <f t="shared" si="26"/>
        <v>1.1270718232044199</v>
      </c>
      <c r="BB21" s="23">
        <f t="shared" si="27"/>
        <v>1.1270718232044199</v>
      </c>
      <c r="BC21" s="23">
        <f t="shared" si="28"/>
        <v>0</v>
      </c>
      <c r="BD21" s="23">
        <f t="shared" si="29"/>
        <v>1.1270718232044199</v>
      </c>
    </row>
    <row r="22" spans="1:56" s="47" customFormat="1">
      <c r="A22" s="47" t="s">
        <v>20</v>
      </c>
      <c r="B22" s="47" t="s">
        <v>36</v>
      </c>
      <c r="C22" s="47" t="s">
        <v>22</v>
      </c>
      <c r="D22" s="47" t="s">
        <v>37</v>
      </c>
      <c r="E22" s="51" t="s">
        <v>107</v>
      </c>
      <c r="F22" s="51" t="s">
        <v>232</v>
      </c>
      <c r="G22" s="51" t="s">
        <v>109</v>
      </c>
      <c r="H22" s="47" t="s">
        <v>691</v>
      </c>
      <c r="J22" s="51" t="s">
        <v>112</v>
      </c>
      <c r="K22" s="51" t="s">
        <v>112</v>
      </c>
      <c r="L22" s="51" t="s">
        <v>112</v>
      </c>
      <c r="M22" s="47">
        <v>2035015</v>
      </c>
      <c r="N22" s="50" t="s">
        <v>692</v>
      </c>
      <c r="O22" s="55">
        <f>DATE(2016,8,1)</f>
        <v>42583</v>
      </c>
      <c r="P22" s="55">
        <f>DATE(2016,10,28)</f>
        <v>42671</v>
      </c>
      <c r="Q22" s="51">
        <v>200</v>
      </c>
      <c r="R22" s="49"/>
      <c r="S22" s="51">
        <v>1</v>
      </c>
      <c r="U22" s="47">
        <f t="shared" si="0"/>
        <v>89</v>
      </c>
      <c r="V22" s="31">
        <f t="shared" si="1"/>
        <v>2.2471910112359552</v>
      </c>
      <c r="W22" s="31">
        <f t="shared" si="2"/>
        <v>200</v>
      </c>
      <c r="X22" s="31">
        <f t="shared" si="3"/>
        <v>0.25</v>
      </c>
      <c r="Y22" s="31"/>
      <c r="Z22" s="31"/>
      <c r="AA22" s="32">
        <f t="shared" si="4"/>
        <v>42552</v>
      </c>
      <c r="AB22" s="77">
        <f t="shared" si="5"/>
        <v>42735</v>
      </c>
      <c r="AC22" s="50">
        <v>22</v>
      </c>
      <c r="AD22" s="47">
        <f t="shared" si="6"/>
        <v>0</v>
      </c>
      <c r="AE22" s="47">
        <f t="shared" si="7"/>
        <v>0</v>
      </c>
      <c r="AF22" s="47">
        <f t="shared" si="8"/>
        <v>0</v>
      </c>
      <c r="AG22" s="47">
        <f t="shared" si="9"/>
        <v>89</v>
      </c>
      <c r="AH22" s="47">
        <f t="shared" si="10"/>
        <v>0</v>
      </c>
      <c r="AI22" s="23">
        <f t="shared" si="11"/>
        <v>0.48369565217391303</v>
      </c>
      <c r="AJ22" s="23">
        <f t="shared" si="12"/>
        <v>0.12092391304347826</v>
      </c>
      <c r="AK22" s="23">
        <f t="shared" si="13"/>
        <v>2.6603260869565215</v>
      </c>
      <c r="AL22" s="23">
        <f t="shared" si="14"/>
        <v>2.6603260869565215</v>
      </c>
      <c r="AM22" s="23">
        <f t="shared" si="15"/>
        <v>0</v>
      </c>
      <c r="AN22" s="23">
        <f t="shared" si="16"/>
        <v>2.6603260869565215</v>
      </c>
      <c r="AO22" s="23"/>
      <c r="AP22" s="23"/>
      <c r="AQ22" s="32">
        <f t="shared" si="17"/>
        <v>42736</v>
      </c>
      <c r="AR22" s="32">
        <f t="shared" si="18"/>
        <v>42916</v>
      </c>
      <c r="AS22" s="50">
        <v>2</v>
      </c>
      <c r="AT22" s="47">
        <f t="shared" si="19"/>
        <v>0</v>
      </c>
      <c r="AU22" s="47">
        <f t="shared" si="20"/>
        <v>0</v>
      </c>
      <c r="AV22" s="47">
        <f t="shared" si="21"/>
        <v>0</v>
      </c>
      <c r="AW22" s="47">
        <f t="shared" si="22"/>
        <v>0</v>
      </c>
      <c r="AX22" s="47">
        <f t="shared" si="23"/>
        <v>90.5</v>
      </c>
      <c r="AY22" s="23">
        <f t="shared" si="24"/>
        <v>0.5</v>
      </c>
      <c r="AZ22" s="23">
        <f t="shared" si="25"/>
        <v>0.125</v>
      </c>
      <c r="BA22" s="23">
        <f t="shared" si="26"/>
        <v>0.125</v>
      </c>
      <c r="BB22" s="23">
        <f t="shared" si="27"/>
        <v>0.125</v>
      </c>
      <c r="BC22" s="23">
        <f t="shared" si="28"/>
        <v>0</v>
      </c>
      <c r="BD22" s="23">
        <f t="shared" si="29"/>
        <v>0.125</v>
      </c>
    </row>
    <row r="23" spans="1:56" s="47" customFormat="1">
      <c r="A23" s="47" t="s">
        <v>20</v>
      </c>
      <c r="B23" s="47" t="s">
        <v>36</v>
      </c>
      <c r="C23" s="47" t="s">
        <v>22</v>
      </c>
      <c r="D23" s="47" t="s">
        <v>37</v>
      </c>
      <c r="E23" s="51" t="s">
        <v>107</v>
      </c>
      <c r="F23" s="51" t="s">
        <v>108</v>
      </c>
      <c r="G23" s="51" t="s">
        <v>109</v>
      </c>
      <c r="H23" s="47" t="s">
        <v>210</v>
      </c>
      <c r="I23" s="47" t="s">
        <v>111</v>
      </c>
      <c r="J23" s="51" t="s">
        <v>112</v>
      </c>
      <c r="K23" s="51" t="s">
        <v>112</v>
      </c>
      <c r="L23" s="51" t="s">
        <v>112</v>
      </c>
      <c r="M23" s="47">
        <v>2160337</v>
      </c>
      <c r="N23" s="52" t="s">
        <v>693</v>
      </c>
      <c r="O23" s="55">
        <f>DATE(2017,5,8)</f>
        <v>42863</v>
      </c>
      <c r="P23" s="55">
        <f>DATE(2018,10,31)</f>
        <v>43404</v>
      </c>
      <c r="Q23" s="51">
        <v>1296</v>
      </c>
      <c r="R23" s="49"/>
      <c r="S23" s="51">
        <v>1</v>
      </c>
      <c r="U23" s="47">
        <f t="shared" si="0"/>
        <v>542</v>
      </c>
      <c r="V23" s="31">
        <f t="shared" si="1"/>
        <v>2.3911439114391144</v>
      </c>
      <c r="W23" s="31">
        <f t="shared" si="2"/>
        <v>872.76752767527671</v>
      </c>
      <c r="X23" s="31">
        <f t="shared" si="3"/>
        <v>1.090959409594096</v>
      </c>
      <c r="Y23" s="31"/>
      <c r="Z23" s="31"/>
      <c r="AA23" s="32">
        <f t="shared" si="4"/>
        <v>42552</v>
      </c>
      <c r="AB23" s="77">
        <f t="shared" si="5"/>
        <v>42735</v>
      </c>
      <c r="AC23" s="49">
        <v>0</v>
      </c>
      <c r="AD23" s="47">
        <f t="shared" si="6"/>
        <v>0</v>
      </c>
      <c r="AE23" s="47">
        <f t="shared" si="7"/>
        <v>0</v>
      </c>
      <c r="AF23" s="47">
        <f t="shared" si="8"/>
        <v>0</v>
      </c>
      <c r="AG23" s="47">
        <f t="shared" si="9"/>
        <v>0</v>
      </c>
      <c r="AH23" s="47">
        <f t="shared" si="10"/>
        <v>0</v>
      </c>
      <c r="AI23" s="23">
        <f t="shared" si="11"/>
        <v>0</v>
      </c>
      <c r="AJ23" s="23">
        <f t="shared" si="12"/>
        <v>0</v>
      </c>
      <c r="AK23" s="23">
        <f t="shared" si="13"/>
        <v>0</v>
      </c>
      <c r="AL23" s="23">
        <f t="shared" si="14"/>
        <v>0</v>
      </c>
      <c r="AM23" s="23">
        <f t="shared" si="15"/>
        <v>0</v>
      </c>
      <c r="AN23" s="23">
        <f t="shared" si="16"/>
        <v>0</v>
      </c>
      <c r="AO23" s="23"/>
      <c r="AP23" s="23"/>
      <c r="AQ23" s="32">
        <f t="shared" si="17"/>
        <v>42736</v>
      </c>
      <c r="AR23" s="32">
        <f t="shared" si="18"/>
        <v>42916</v>
      </c>
      <c r="AS23" s="52">
        <v>39</v>
      </c>
      <c r="AT23" s="47">
        <f t="shared" si="19"/>
        <v>0</v>
      </c>
      <c r="AU23" s="47">
        <f t="shared" si="20"/>
        <v>54</v>
      </c>
      <c r="AV23" s="47">
        <f t="shared" si="21"/>
        <v>0</v>
      </c>
      <c r="AW23" s="47">
        <f t="shared" si="22"/>
        <v>0</v>
      </c>
      <c r="AX23" s="47">
        <f t="shared" si="23"/>
        <v>0</v>
      </c>
      <c r="AY23" s="23">
        <f t="shared" si="24"/>
        <v>0.2983425414364641</v>
      </c>
      <c r="AZ23" s="23">
        <f t="shared" si="25"/>
        <v>0.32547960286232702</v>
      </c>
      <c r="BA23" s="23">
        <f t="shared" si="26"/>
        <v>12.693704511630754</v>
      </c>
      <c r="BB23" s="23">
        <f t="shared" si="27"/>
        <v>12.693704511630754</v>
      </c>
      <c r="BC23" s="23">
        <f t="shared" si="28"/>
        <v>0</v>
      </c>
      <c r="BD23" s="23">
        <f t="shared" si="29"/>
        <v>12.693704511630754</v>
      </c>
    </row>
    <row r="24" spans="1:56" s="47" customFormat="1">
      <c r="A24" s="47" t="s">
        <v>20</v>
      </c>
      <c r="B24" s="47" t="s">
        <v>36</v>
      </c>
      <c r="C24" s="47" t="s">
        <v>22</v>
      </c>
      <c r="D24" s="47" t="s">
        <v>37</v>
      </c>
      <c r="E24" s="51" t="s">
        <v>107</v>
      </c>
      <c r="F24" s="51" t="s">
        <v>108</v>
      </c>
      <c r="G24" s="51" t="s">
        <v>109</v>
      </c>
      <c r="H24" s="47" t="s">
        <v>136</v>
      </c>
      <c r="I24" s="47" t="s">
        <v>131</v>
      </c>
      <c r="J24" s="51" t="s">
        <v>112</v>
      </c>
      <c r="K24" s="51" t="s">
        <v>112</v>
      </c>
      <c r="L24" s="51" t="s">
        <v>112</v>
      </c>
      <c r="M24" s="47">
        <v>2160341</v>
      </c>
      <c r="N24" s="52" t="s">
        <v>694</v>
      </c>
      <c r="O24" s="55">
        <f>DATE(2017,5,8)</f>
        <v>42863</v>
      </c>
      <c r="P24" s="55">
        <f>DATE(2018,10,31)</f>
        <v>43404</v>
      </c>
      <c r="Q24" s="51">
        <v>1236</v>
      </c>
      <c r="R24" s="49"/>
      <c r="S24" s="51">
        <v>1</v>
      </c>
      <c r="U24" s="47">
        <f t="shared" si="0"/>
        <v>542</v>
      </c>
      <c r="V24" s="31">
        <f t="shared" si="1"/>
        <v>2.2804428044280445</v>
      </c>
      <c r="W24" s="31">
        <f t="shared" si="2"/>
        <v>832.36162361623622</v>
      </c>
      <c r="X24" s="31">
        <f t="shared" si="3"/>
        <v>1.0404520295202953</v>
      </c>
      <c r="Y24" s="31"/>
      <c r="Z24" s="31"/>
      <c r="AA24" s="32">
        <f t="shared" si="4"/>
        <v>42552</v>
      </c>
      <c r="AB24" s="77">
        <f t="shared" si="5"/>
        <v>42735</v>
      </c>
      <c r="AC24" s="49">
        <v>0</v>
      </c>
      <c r="AD24" s="47">
        <f t="shared" si="6"/>
        <v>0</v>
      </c>
      <c r="AE24" s="47">
        <f t="shared" si="7"/>
        <v>0</v>
      </c>
      <c r="AF24" s="47">
        <f t="shared" si="8"/>
        <v>0</v>
      </c>
      <c r="AG24" s="47">
        <f t="shared" si="9"/>
        <v>0</v>
      </c>
      <c r="AH24" s="47">
        <f t="shared" si="10"/>
        <v>0</v>
      </c>
      <c r="AI24" s="23">
        <f t="shared" si="11"/>
        <v>0</v>
      </c>
      <c r="AJ24" s="23">
        <f t="shared" si="12"/>
        <v>0</v>
      </c>
      <c r="AK24" s="23">
        <f t="shared" si="13"/>
        <v>0</v>
      </c>
      <c r="AL24" s="23">
        <f t="shared" si="14"/>
        <v>0</v>
      </c>
      <c r="AM24" s="23">
        <f t="shared" si="15"/>
        <v>0</v>
      </c>
      <c r="AN24" s="23">
        <f t="shared" si="16"/>
        <v>0</v>
      </c>
      <c r="AO24" s="23"/>
      <c r="AP24" s="23"/>
      <c r="AQ24" s="32">
        <f t="shared" si="17"/>
        <v>42736</v>
      </c>
      <c r="AR24" s="32">
        <f t="shared" si="18"/>
        <v>42916</v>
      </c>
      <c r="AS24" s="52">
        <v>48</v>
      </c>
      <c r="AT24" s="47">
        <f t="shared" si="19"/>
        <v>0</v>
      </c>
      <c r="AU24" s="47">
        <f t="shared" si="20"/>
        <v>54</v>
      </c>
      <c r="AV24" s="47">
        <f t="shared" si="21"/>
        <v>0</v>
      </c>
      <c r="AW24" s="47">
        <f t="shared" si="22"/>
        <v>0</v>
      </c>
      <c r="AX24" s="47">
        <f t="shared" si="23"/>
        <v>0</v>
      </c>
      <c r="AY24" s="23">
        <f t="shared" si="24"/>
        <v>0.2983425414364641</v>
      </c>
      <c r="AZ24" s="23">
        <f t="shared" si="25"/>
        <v>0.31041110272981187</v>
      </c>
      <c r="BA24" s="23">
        <f t="shared" si="26"/>
        <v>14.89973293103097</v>
      </c>
      <c r="BB24" s="23">
        <f t="shared" si="27"/>
        <v>14.89973293103097</v>
      </c>
      <c r="BC24" s="23">
        <f t="shared" si="28"/>
        <v>0</v>
      </c>
      <c r="BD24" s="23">
        <f t="shared" si="29"/>
        <v>14.89973293103097</v>
      </c>
    </row>
    <row r="25" spans="1:56" s="47" customFormat="1">
      <c r="A25" s="47" t="s">
        <v>20</v>
      </c>
      <c r="B25" s="47" t="s">
        <v>36</v>
      </c>
      <c r="C25" s="47" t="s">
        <v>22</v>
      </c>
      <c r="D25" s="47" t="s">
        <v>37</v>
      </c>
      <c r="E25" s="51" t="s">
        <v>107</v>
      </c>
      <c r="F25" s="51" t="s">
        <v>108</v>
      </c>
      <c r="G25" s="51" t="s">
        <v>109</v>
      </c>
      <c r="H25" s="47" t="s">
        <v>110</v>
      </c>
      <c r="I25" s="47" t="s">
        <v>111</v>
      </c>
      <c r="J25" s="51" t="s">
        <v>112</v>
      </c>
      <c r="K25" s="51" t="s">
        <v>112</v>
      </c>
      <c r="L25" s="51" t="s">
        <v>112</v>
      </c>
      <c r="M25" s="47">
        <v>2161371</v>
      </c>
      <c r="N25" s="52" t="s">
        <v>695</v>
      </c>
      <c r="O25" s="55">
        <f>DATE(2017,5,8)</f>
        <v>42863</v>
      </c>
      <c r="P25" s="55">
        <f>DATE(2020,5,29)</f>
        <v>43980</v>
      </c>
      <c r="Q25" s="51">
        <v>3667</v>
      </c>
      <c r="R25" s="49"/>
      <c r="S25" s="51">
        <v>2</v>
      </c>
      <c r="U25" s="47">
        <f t="shared" si="0"/>
        <v>1118</v>
      </c>
      <c r="V25" s="31">
        <f t="shared" si="1"/>
        <v>3.2799642218246867</v>
      </c>
      <c r="W25" s="31">
        <f t="shared" si="2"/>
        <v>1197.1869409660108</v>
      </c>
      <c r="X25" s="31">
        <f t="shared" si="3"/>
        <v>1.4964836762075135</v>
      </c>
      <c r="Y25" s="31"/>
      <c r="Z25" s="31"/>
      <c r="AA25" s="32">
        <f t="shared" si="4"/>
        <v>42552</v>
      </c>
      <c r="AB25" s="77">
        <f t="shared" si="5"/>
        <v>42735</v>
      </c>
      <c r="AC25" s="49">
        <v>0</v>
      </c>
      <c r="AD25" s="47">
        <f t="shared" si="6"/>
        <v>0</v>
      </c>
      <c r="AE25" s="47">
        <f t="shared" si="7"/>
        <v>0</v>
      </c>
      <c r="AF25" s="47">
        <f t="shared" si="8"/>
        <v>0</v>
      </c>
      <c r="AG25" s="47">
        <f t="shared" si="9"/>
        <v>0</v>
      </c>
      <c r="AH25" s="47">
        <f t="shared" si="10"/>
        <v>0</v>
      </c>
      <c r="AI25" s="23">
        <f t="shared" si="11"/>
        <v>0</v>
      </c>
      <c r="AJ25" s="23">
        <f t="shared" si="12"/>
        <v>0</v>
      </c>
      <c r="AK25" s="23">
        <f t="shared" si="13"/>
        <v>0</v>
      </c>
      <c r="AL25" s="23">
        <f t="shared" si="14"/>
        <v>0</v>
      </c>
      <c r="AM25" s="23">
        <f t="shared" si="15"/>
        <v>0</v>
      </c>
      <c r="AN25" s="23">
        <f t="shared" si="16"/>
        <v>0</v>
      </c>
      <c r="AO25" s="23"/>
      <c r="AP25" s="23"/>
      <c r="AQ25" s="32">
        <f t="shared" si="17"/>
        <v>42736</v>
      </c>
      <c r="AR25" s="32">
        <f t="shared" si="18"/>
        <v>42916</v>
      </c>
      <c r="AS25" s="52">
        <v>39</v>
      </c>
      <c r="AT25" s="47">
        <f t="shared" si="19"/>
        <v>0</v>
      </c>
      <c r="AU25" s="47">
        <f t="shared" si="20"/>
        <v>54</v>
      </c>
      <c r="AV25" s="47">
        <f t="shared" si="21"/>
        <v>0</v>
      </c>
      <c r="AW25" s="47">
        <f t="shared" si="22"/>
        <v>0</v>
      </c>
      <c r="AX25" s="47">
        <f t="shared" si="23"/>
        <v>0</v>
      </c>
      <c r="AY25" s="23">
        <f t="shared" si="24"/>
        <v>0.2983425414364641</v>
      </c>
      <c r="AZ25" s="23">
        <f t="shared" si="25"/>
        <v>0.44646474317793222</v>
      </c>
      <c r="BA25" s="23">
        <f t="shared" si="26"/>
        <v>17.412124983939357</v>
      </c>
      <c r="BB25" s="23">
        <f t="shared" si="27"/>
        <v>34.824249967878714</v>
      </c>
      <c r="BC25" s="23">
        <f t="shared" si="28"/>
        <v>0</v>
      </c>
      <c r="BD25" s="23">
        <f t="shared" si="29"/>
        <v>34.824249967878714</v>
      </c>
    </row>
    <row r="26" spans="1:56" s="47" customFormat="1">
      <c r="A26" s="47" t="s">
        <v>20</v>
      </c>
      <c r="B26" s="47" t="s">
        <v>36</v>
      </c>
      <c r="C26" s="47" t="s">
        <v>22</v>
      </c>
      <c r="D26" s="47" t="s">
        <v>37</v>
      </c>
      <c r="E26" s="51" t="s">
        <v>107</v>
      </c>
      <c r="F26" s="51" t="s">
        <v>108</v>
      </c>
      <c r="G26" s="51" t="s">
        <v>109</v>
      </c>
      <c r="H26" s="47" t="s">
        <v>642</v>
      </c>
      <c r="I26" s="47" t="s">
        <v>147</v>
      </c>
      <c r="J26" s="51" t="s">
        <v>148</v>
      </c>
      <c r="K26" s="51" t="s">
        <v>112</v>
      </c>
      <c r="L26" s="51" t="s">
        <v>112</v>
      </c>
      <c r="M26" s="47">
        <v>2162428</v>
      </c>
      <c r="N26" s="52" t="s">
        <v>696</v>
      </c>
      <c r="O26" s="55">
        <f>DATE(2017,5,8)</f>
        <v>42863</v>
      </c>
      <c r="P26" s="55">
        <f>DATE(2018,10,31)</f>
        <v>43404</v>
      </c>
      <c r="Q26" s="51">
        <v>1400</v>
      </c>
      <c r="R26" s="49"/>
      <c r="S26" s="51">
        <v>2.5</v>
      </c>
      <c r="U26" s="47">
        <f t="shared" si="0"/>
        <v>542</v>
      </c>
      <c r="V26" s="31">
        <f t="shared" si="1"/>
        <v>2.5830258302583027</v>
      </c>
      <c r="W26" s="31">
        <f t="shared" si="2"/>
        <v>942.80442804428048</v>
      </c>
      <c r="X26" s="31">
        <f t="shared" si="3"/>
        <v>1.1785055350553506</v>
      </c>
      <c r="Y26" s="31"/>
      <c r="Z26" s="31"/>
      <c r="AA26" s="32">
        <f t="shared" si="4"/>
        <v>42552</v>
      </c>
      <c r="AB26" s="77">
        <f t="shared" si="5"/>
        <v>42735</v>
      </c>
      <c r="AC26" s="49">
        <v>0</v>
      </c>
      <c r="AD26" s="47">
        <f t="shared" si="6"/>
        <v>0</v>
      </c>
      <c r="AE26" s="47">
        <f t="shared" si="7"/>
        <v>0</v>
      </c>
      <c r="AF26" s="47">
        <f t="shared" si="8"/>
        <v>0</v>
      </c>
      <c r="AG26" s="47">
        <f t="shared" si="9"/>
        <v>0</v>
      </c>
      <c r="AH26" s="47">
        <f t="shared" si="10"/>
        <v>0</v>
      </c>
      <c r="AI26" s="23">
        <f t="shared" si="11"/>
        <v>0</v>
      </c>
      <c r="AJ26" s="23">
        <f t="shared" si="12"/>
        <v>0</v>
      </c>
      <c r="AK26" s="23">
        <f t="shared" si="13"/>
        <v>0</v>
      </c>
      <c r="AL26" s="23">
        <f t="shared" si="14"/>
        <v>0</v>
      </c>
      <c r="AM26" s="23">
        <f t="shared" si="15"/>
        <v>0</v>
      </c>
      <c r="AN26" s="23">
        <f t="shared" si="16"/>
        <v>0</v>
      </c>
      <c r="AO26" s="23"/>
      <c r="AP26" s="23"/>
      <c r="AQ26" s="32">
        <f t="shared" si="17"/>
        <v>42736</v>
      </c>
      <c r="AR26" s="32">
        <f t="shared" si="18"/>
        <v>42916</v>
      </c>
      <c r="AS26" s="52">
        <v>39</v>
      </c>
      <c r="AT26" s="47">
        <f t="shared" si="19"/>
        <v>0</v>
      </c>
      <c r="AU26" s="47">
        <f t="shared" si="20"/>
        <v>54</v>
      </c>
      <c r="AV26" s="47">
        <f t="shared" si="21"/>
        <v>0</v>
      </c>
      <c r="AW26" s="47">
        <f t="shared" si="22"/>
        <v>0</v>
      </c>
      <c r="AX26" s="47">
        <f t="shared" si="23"/>
        <v>0</v>
      </c>
      <c r="AY26" s="23">
        <f t="shared" si="24"/>
        <v>0.2983425414364641</v>
      </c>
      <c r="AZ26" s="23">
        <f t="shared" si="25"/>
        <v>0.35159833642535326</v>
      </c>
      <c r="BA26" s="23">
        <f t="shared" si="26"/>
        <v>13.712335120588778</v>
      </c>
      <c r="BB26" s="23">
        <f t="shared" si="27"/>
        <v>34.280837801471947</v>
      </c>
      <c r="BC26" s="23">
        <f t="shared" si="28"/>
        <v>17.140418900735973</v>
      </c>
      <c r="BD26" s="23">
        <f t="shared" si="29"/>
        <v>51.42125670220792</v>
      </c>
    </row>
    <row r="27" spans="1:56" s="47" customFormat="1">
      <c r="A27" s="47" t="s">
        <v>20</v>
      </c>
      <c r="B27" s="47" t="s">
        <v>36</v>
      </c>
      <c r="C27" s="47" t="s">
        <v>22</v>
      </c>
      <c r="D27" s="47" t="s">
        <v>37</v>
      </c>
      <c r="E27" s="51" t="s">
        <v>107</v>
      </c>
      <c r="F27" s="51" t="s">
        <v>232</v>
      </c>
      <c r="G27" s="51" t="s">
        <v>109</v>
      </c>
      <c r="H27" s="47" t="s">
        <v>683</v>
      </c>
      <c r="I27" s="47" t="s">
        <v>147</v>
      </c>
      <c r="J27" s="51" t="s">
        <v>112</v>
      </c>
      <c r="K27" s="51" t="s">
        <v>112</v>
      </c>
      <c r="L27" s="51" t="s">
        <v>112</v>
      </c>
      <c r="M27" s="47">
        <v>2166760</v>
      </c>
      <c r="N27" s="51" t="s">
        <v>697</v>
      </c>
      <c r="O27" s="55">
        <f>DATE(2017,6,5)</f>
        <v>42891</v>
      </c>
      <c r="P27" s="55">
        <f>DATE(2017,11,5)</f>
        <v>43044</v>
      </c>
      <c r="Q27" s="51">
        <v>200</v>
      </c>
      <c r="R27" s="49"/>
      <c r="S27" s="51">
        <v>1</v>
      </c>
      <c r="U27" s="47">
        <f t="shared" si="0"/>
        <v>154</v>
      </c>
      <c r="V27" s="31">
        <f t="shared" si="1"/>
        <v>1.2987012987012987</v>
      </c>
      <c r="W27" s="31">
        <f t="shared" si="2"/>
        <v>200</v>
      </c>
      <c r="X27" s="31">
        <f t="shared" si="3"/>
        <v>0.25</v>
      </c>
      <c r="Y27" s="31"/>
      <c r="Z27" s="31"/>
      <c r="AA27" s="32">
        <f t="shared" si="4"/>
        <v>42552</v>
      </c>
      <c r="AB27" s="77">
        <f t="shared" si="5"/>
        <v>42735</v>
      </c>
      <c r="AC27" s="49">
        <v>0</v>
      </c>
      <c r="AD27" s="47">
        <f t="shared" si="6"/>
        <v>0</v>
      </c>
      <c r="AE27" s="47">
        <f t="shared" si="7"/>
        <v>0</v>
      </c>
      <c r="AF27" s="47">
        <f t="shared" si="8"/>
        <v>0</v>
      </c>
      <c r="AG27" s="47">
        <f t="shared" si="9"/>
        <v>0</v>
      </c>
      <c r="AH27" s="47">
        <f t="shared" si="10"/>
        <v>0</v>
      </c>
      <c r="AI27" s="23">
        <f t="shared" si="11"/>
        <v>0</v>
      </c>
      <c r="AJ27" s="23">
        <f t="shared" si="12"/>
        <v>0</v>
      </c>
      <c r="AK27" s="23">
        <f t="shared" si="13"/>
        <v>0</v>
      </c>
      <c r="AL27" s="23">
        <f t="shared" si="14"/>
        <v>0</v>
      </c>
      <c r="AM27" s="23">
        <f t="shared" si="15"/>
        <v>0</v>
      </c>
      <c r="AN27" s="23">
        <f t="shared" si="16"/>
        <v>0</v>
      </c>
      <c r="AO27" s="23"/>
      <c r="AP27" s="23"/>
      <c r="AQ27" s="32">
        <f t="shared" si="17"/>
        <v>42736</v>
      </c>
      <c r="AR27" s="32">
        <f t="shared" si="18"/>
        <v>42916</v>
      </c>
      <c r="AS27" s="51">
        <v>13</v>
      </c>
      <c r="AT27" s="47">
        <f t="shared" si="19"/>
        <v>0</v>
      </c>
      <c r="AU27" s="47">
        <f t="shared" si="20"/>
        <v>26</v>
      </c>
      <c r="AV27" s="47">
        <f t="shared" si="21"/>
        <v>0</v>
      </c>
      <c r="AW27" s="47">
        <f t="shared" si="22"/>
        <v>0</v>
      </c>
      <c r="AX27" s="47">
        <f t="shared" si="23"/>
        <v>0</v>
      </c>
      <c r="AY27" s="23">
        <f t="shared" si="24"/>
        <v>0.143646408839779</v>
      </c>
      <c r="AZ27" s="23">
        <f t="shared" si="25"/>
        <v>3.591160220994475E-2</v>
      </c>
      <c r="BA27" s="23">
        <f t="shared" si="26"/>
        <v>0.46685082872928174</v>
      </c>
      <c r="BB27" s="23">
        <f t="shared" si="27"/>
        <v>0.46685082872928174</v>
      </c>
      <c r="BC27" s="23">
        <f t="shared" si="28"/>
        <v>0</v>
      </c>
      <c r="BD27" s="23">
        <f t="shared" si="29"/>
        <v>0.46685082872928174</v>
      </c>
    </row>
    <row r="28" spans="1:56" s="47" customFormat="1">
      <c r="A28" s="47" t="s">
        <v>20</v>
      </c>
      <c r="B28" s="47" t="s">
        <v>36</v>
      </c>
      <c r="C28" s="47" t="s">
        <v>22</v>
      </c>
      <c r="D28" s="47" t="s">
        <v>37</v>
      </c>
      <c r="E28" s="51" t="s">
        <v>107</v>
      </c>
      <c r="F28" s="51" t="s">
        <v>232</v>
      </c>
      <c r="G28" s="51" t="s">
        <v>109</v>
      </c>
      <c r="H28" s="47" t="s">
        <v>691</v>
      </c>
      <c r="J28" s="51" t="s">
        <v>112</v>
      </c>
      <c r="K28" s="51" t="s">
        <v>112</v>
      </c>
      <c r="L28" s="51" t="s">
        <v>112</v>
      </c>
      <c r="M28" s="47">
        <v>2166770</v>
      </c>
      <c r="N28" s="51" t="s">
        <v>698</v>
      </c>
      <c r="O28" s="55">
        <f>DATE(2017,6,5)</f>
        <v>42891</v>
      </c>
      <c r="P28" s="55">
        <f>DATE(2017,11,5)</f>
        <v>43044</v>
      </c>
      <c r="Q28" s="51">
        <v>200</v>
      </c>
      <c r="R28" s="49"/>
      <c r="S28" s="51">
        <v>1</v>
      </c>
      <c r="U28" s="47">
        <f t="shared" si="0"/>
        <v>154</v>
      </c>
      <c r="V28" s="31">
        <f t="shared" si="1"/>
        <v>1.2987012987012987</v>
      </c>
      <c r="W28" s="31">
        <f t="shared" si="2"/>
        <v>200</v>
      </c>
      <c r="X28" s="31">
        <f t="shared" si="3"/>
        <v>0.25</v>
      </c>
      <c r="Y28" s="31"/>
      <c r="Z28" s="31"/>
      <c r="AA28" s="32">
        <f t="shared" si="4"/>
        <v>42552</v>
      </c>
      <c r="AB28" s="77">
        <f t="shared" si="5"/>
        <v>42735</v>
      </c>
      <c r="AC28" s="49">
        <v>0</v>
      </c>
      <c r="AD28" s="47">
        <f t="shared" si="6"/>
        <v>0</v>
      </c>
      <c r="AE28" s="47">
        <f t="shared" si="7"/>
        <v>0</v>
      </c>
      <c r="AF28" s="47">
        <f t="shared" si="8"/>
        <v>0</v>
      </c>
      <c r="AG28" s="47">
        <f t="shared" si="9"/>
        <v>0</v>
      </c>
      <c r="AH28" s="47">
        <f t="shared" si="10"/>
        <v>0</v>
      </c>
      <c r="AI28" s="23">
        <f t="shared" si="11"/>
        <v>0</v>
      </c>
      <c r="AJ28" s="23">
        <f t="shared" si="12"/>
        <v>0</v>
      </c>
      <c r="AK28" s="23">
        <f t="shared" si="13"/>
        <v>0</v>
      </c>
      <c r="AL28" s="23">
        <f t="shared" si="14"/>
        <v>0</v>
      </c>
      <c r="AM28" s="23">
        <f t="shared" si="15"/>
        <v>0</v>
      </c>
      <c r="AN28" s="23">
        <f t="shared" si="16"/>
        <v>0</v>
      </c>
      <c r="AO28" s="23"/>
      <c r="AP28" s="23"/>
      <c r="AQ28" s="32">
        <f t="shared" si="17"/>
        <v>42736</v>
      </c>
      <c r="AR28" s="32">
        <f t="shared" si="18"/>
        <v>42916</v>
      </c>
      <c r="AS28" s="51">
        <v>18</v>
      </c>
      <c r="AT28" s="47">
        <f t="shared" si="19"/>
        <v>0</v>
      </c>
      <c r="AU28" s="47">
        <f t="shared" si="20"/>
        <v>26</v>
      </c>
      <c r="AV28" s="47">
        <f t="shared" si="21"/>
        <v>0</v>
      </c>
      <c r="AW28" s="47">
        <f t="shared" si="22"/>
        <v>0</v>
      </c>
      <c r="AX28" s="47">
        <f t="shared" si="23"/>
        <v>0</v>
      </c>
      <c r="AY28" s="23">
        <f t="shared" si="24"/>
        <v>0.143646408839779</v>
      </c>
      <c r="AZ28" s="23">
        <f t="shared" si="25"/>
        <v>3.591160220994475E-2</v>
      </c>
      <c r="BA28" s="23">
        <f t="shared" si="26"/>
        <v>0.64640883977900554</v>
      </c>
      <c r="BB28" s="23">
        <f t="shared" si="27"/>
        <v>0.64640883977900554</v>
      </c>
      <c r="BC28" s="23">
        <f t="shared" si="28"/>
        <v>0</v>
      </c>
      <c r="BD28" s="23">
        <f t="shared" si="29"/>
        <v>0.64640883977900554</v>
      </c>
    </row>
    <row r="29" spans="1:56" s="47" customFormat="1">
      <c r="A29" s="47" t="s">
        <v>20</v>
      </c>
      <c r="B29" s="47" t="s">
        <v>36</v>
      </c>
      <c r="C29" s="47" t="s">
        <v>22</v>
      </c>
      <c r="D29" s="47" t="s">
        <v>37</v>
      </c>
      <c r="E29" s="51" t="s">
        <v>107</v>
      </c>
      <c r="F29" s="51" t="s">
        <v>232</v>
      </c>
      <c r="G29" s="51" t="s">
        <v>109</v>
      </c>
      <c r="H29" s="47" t="s">
        <v>680</v>
      </c>
      <c r="J29" s="51" t="s">
        <v>112</v>
      </c>
      <c r="K29" s="51" t="s">
        <v>112</v>
      </c>
      <c r="L29" s="51" t="s">
        <v>112</v>
      </c>
      <c r="M29" s="47">
        <v>2166774</v>
      </c>
      <c r="N29" s="51" t="s">
        <v>699</v>
      </c>
      <c r="O29" s="55">
        <f>DATE(2017,6,5)</f>
        <v>42891</v>
      </c>
      <c r="P29" s="55">
        <f>DATE(2017,11,5)</f>
        <v>43044</v>
      </c>
      <c r="Q29" s="51">
        <v>300</v>
      </c>
      <c r="R29" s="49"/>
      <c r="S29" s="51">
        <v>1</v>
      </c>
      <c r="U29" s="47">
        <f t="shared" si="0"/>
        <v>154</v>
      </c>
      <c r="V29" s="31">
        <f t="shared" si="1"/>
        <v>1.948051948051948</v>
      </c>
      <c r="W29" s="31">
        <f t="shared" si="2"/>
        <v>300</v>
      </c>
      <c r="X29" s="31">
        <f t="shared" si="3"/>
        <v>0.375</v>
      </c>
      <c r="Y29" s="31"/>
      <c r="Z29" s="31"/>
      <c r="AA29" s="32">
        <f t="shared" si="4"/>
        <v>42552</v>
      </c>
      <c r="AB29" s="77">
        <f t="shared" si="5"/>
        <v>42735</v>
      </c>
      <c r="AC29" s="49">
        <v>0</v>
      </c>
      <c r="AD29" s="47">
        <f t="shared" si="6"/>
        <v>0</v>
      </c>
      <c r="AE29" s="47">
        <f t="shared" si="7"/>
        <v>0</v>
      </c>
      <c r="AF29" s="47">
        <f t="shared" si="8"/>
        <v>0</v>
      </c>
      <c r="AG29" s="47">
        <f t="shared" si="9"/>
        <v>0</v>
      </c>
      <c r="AH29" s="47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O29" s="23"/>
      <c r="AP29" s="23"/>
      <c r="AQ29" s="32">
        <f t="shared" si="17"/>
        <v>42736</v>
      </c>
      <c r="AR29" s="32">
        <f t="shared" si="18"/>
        <v>42916</v>
      </c>
      <c r="AS29" s="51">
        <v>30</v>
      </c>
      <c r="AT29" s="47">
        <f t="shared" si="19"/>
        <v>0</v>
      </c>
      <c r="AU29" s="47">
        <f t="shared" si="20"/>
        <v>26</v>
      </c>
      <c r="AV29" s="47">
        <f t="shared" si="21"/>
        <v>0</v>
      </c>
      <c r="AW29" s="47">
        <f t="shared" si="22"/>
        <v>0</v>
      </c>
      <c r="AX29" s="47">
        <f t="shared" si="23"/>
        <v>0</v>
      </c>
      <c r="AY29" s="23">
        <f t="shared" si="24"/>
        <v>0.143646408839779</v>
      </c>
      <c r="AZ29" s="23">
        <f t="shared" si="25"/>
        <v>5.3867403314917128E-2</v>
      </c>
      <c r="BA29" s="23">
        <f t="shared" si="26"/>
        <v>1.6160220994475138</v>
      </c>
      <c r="BB29" s="23">
        <f t="shared" si="27"/>
        <v>1.6160220994475138</v>
      </c>
      <c r="BC29" s="23">
        <f t="shared" si="28"/>
        <v>0</v>
      </c>
      <c r="BD29" s="23">
        <f t="shared" si="29"/>
        <v>1.6160220994475138</v>
      </c>
    </row>
    <row r="30" spans="1:56" s="47" customFormat="1">
      <c r="A30" s="47" t="s">
        <v>20</v>
      </c>
      <c r="B30" s="47" t="s">
        <v>36</v>
      </c>
      <c r="C30" s="47" t="s">
        <v>22</v>
      </c>
      <c r="D30" s="47" t="s">
        <v>37</v>
      </c>
      <c r="E30" s="51" t="s">
        <v>107</v>
      </c>
      <c r="F30" s="51" t="s">
        <v>232</v>
      </c>
      <c r="G30" s="51" t="s">
        <v>109</v>
      </c>
      <c r="H30" s="47" t="s">
        <v>687</v>
      </c>
      <c r="I30" s="47" t="s">
        <v>111</v>
      </c>
      <c r="J30" s="51" t="s">
        <v>112</v>
      </c>
      <c r="K30" s="51" t="s">
        <v>112</v>
      </c>
      <c r="L30" s="51" t="s">
        <v>112</v>
      </c>
      <c r="M30" s="47">
        <v>2166776</v>
      </c>
      <c r="N30" s="51" t="s">
        <v>700</v>
      </c>
      <c r="O30" s="55">
        <f>DATE(2017,6,5)</f>
        <v>42891</v>
      </c>
      <c r="P30" s="55">
        <f>DATE(2017,11,5)</f>
        <v>43044</v>
      </c>
      <c r="Q30" s="51">
        <v>160</v>
      </c>
      <c r="R30" s="49"/>
      <c r="S30" s="51">
        <v>1</v>
      </c>
      <c r="U30" s="47">
        <f t="shared" si="0"/>
        <v>154</v>
      </c>
      <c r="V30" s="31">
        <f t="shared" si="1"/>
        <v>1.0389610389610389</v>
      </c>
      <c r="W30" s="31">
        <f t="shared" si="2"/>
        <v>160</v>
      </c>
      <c r="X30" s="31">
        <f t="shared" si="3"/>
        <v>0.2</v>
      </c>
      <c r="Y30" s="31"/>
      <c r="Z30" s="31"/>
      <c r="AA30" s="32">
        <f t="shared" si="4"/>
        <v>42552</v>
      </c>
      <c r="AB30" s="77">
        <f t="shared" si="5"/>
        <v>42735</v>
      </c>
      <c r="AC30" s="49">
        <v>0</v>
      </c>
      <c r="AD30" s="47">
        <f t="shared" si="6"/>
        <v>0</v>
      </c>
      <c r="AE30" s="47">
        <f t="shared" si="7"/>
        <v>0</v>
      </c>
      <c r="AF30" s="47">
        <f t="shared" si="8"/>
        <v>0</v>
      </c>
      <c r="AG30" s="47">
        <f t="shared" si="9"/>
        <v>0</v>
      </c>
      <c r="AH30" s="47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O30" s="23"/>
      <c r="AP30" s="23"/>
      <c r="AQ30" s="32">
        <f t="shared" si="17"/>
        <v>42736</v>
      </c>
      <c r="AR30" s="32">
        <f t="shared" si="18"/>
        <v>42916</v>
      </c>
      <c r="AS30" s="51">
        <v>30</v>
      </c>
      <c r="AT30" s="47">
        <f t="shared" si="19"/>
        <v>0</v>
      </c>
      <c r="AU30" s="47">
        <f t="shared" si="20"/>
        <v>26</v>
      </c>
      <c r="AV30" s="47">
        <f t="shared" si="21"/>
        <v>0</v>
      </c>
      <c r="AW30" s="47">
        <f t="shared" si="22"/>
        <v>0</v>
      </c>
      <c r="AX30" s="47">
        <f t="shared" si="23"/>
        <v>0</v>
      </c>
      <c r="AY30" s="23">
        <f t="shared" si="24"/>
        <v>0.143646408839779</v>
      </c>
      <c r="AZ30" s="23">
        <f t="shared" si="25"/>
        <v>2.8729281767955802E-2</v>
      </c>
      <c r="BA30" s="23">
        <f t="shared" si="26"/>
        <v>0.86187845303867405</v>
      </c>
      <c r="BB30" s="23">
        <f t="shared" si="27"/>
        <v>0.86187845303867405</v>
      </c>
      <c r="BC30" s="23">
        <f t="shared" si="28"/>
        <v>0</v>
      </c>
      <c r="BD30" s="23">
        <f t="shared" si="29"/>
        <v>0.86187845303867405</v>
      </c>
    </row>
    <row r="31" spans="1:56" s="47" customFormat="1">
      <c r="A31" s="47" t="s">
        <v>20</v>
      </c>
      <c r="B31" s="47" t="s">
        <v>36</v>
      </c>
      <c r="C31" s="47" t="s">
        <v>22</v>
      </c>
      <c r="D31" s="47" t="s">
        <v>37</v>
      </c>
      <c r="E31" s="51" t="s">
        <v>107</v>
      </c>
      <c r="F31" s="51" t="s">
        <v>232</v>
      </c>
      <c r="G31" s="51" t="s">
        <v>109</v>
      </c>
      <c r="H31" s="47" t="s">
        <v>701</v>
      </c>
      <c r="I31" s="47" t="s">
        <v>125</v>
      </c>
      <c r="J31" s="51" t="s">
        <v>112</v>
      </c>
      <c r="K31" s="51" t="s">
        <v>112</v>
      </c>
      <c r="L31" s="51" t="s">
        <v>112</v>
      </c>
      <c r="M31" s="47">
        <v>2166783</v>
      </c>
      <c r="N31" s="51" t="s">
        <v>702</v>
      </c>
      <c r="O31" s="55">
        <f>DATE(2017,6,5)</f>
        <v>42891</v>
      </c>
      <c r="P31" s="55">
        <f>DATE(2017,11,5)</f>
        <v>43044</v>
      </c>
      <c r="Q31" s="51">
        <v>260</v>
      </c>
      <c r="R31" s="49"/>
      <c r="S31" s="51">
        <v>1</v>
      </c>
      <c r="U31" s="47">
        <f t="shared" si="0"/>
        <v>154</v>
      </c>
      <c r="V31" s="31">
        <f t="shared" si="1"/>
        <v>1.6883116883116882</v>
      </c>
      <c r="W31" s="31">
        <f t="shared" si="2"/>
        <v>260</v>
      </c>
      <c r="X31" s="31">
        <f t="shared" si="3"/>
        <v>0.32500000000000001</v>
      </c>
      <c r="Y31" s="31"/>
      <c r="Z31" s="31"/>
      <c r="AA31" s="32">
        <f t="shared" si="4"/>
        <v>42552</v>
      </c>
      <c r="AB31" s="77">
        <f t="shared" si="5"/>
        <v>42735</v>
      </c>
      <c r="AC31" s="49">
        <v>0</v>
      </c>
      <c r="AD31" s="47">
        <f t="shared" si="6"/>
        <v>0</v>
      </c>
      <c r="AE31" s="47">
        <f t="shared" si="7"/>
        <v>0</v>
      </c>
      <c r="AF31" s="47">
        <f t="shared" si="8"/>
        <v>0</v>
      </c>
      <c r="AG31" s="47">
        <f t="shared" si="9"/>
        <v>0</v>
      </c>
      <c r="AH31" s="47">
        <f t="shared" si="10"/>
        <v>0</v>
      </c>
      <c r="AI31" s="23">
        <f t="shared" si="11"/>
        <v>0</v>
      </c>
      <c r="AJ31" s="23">
        <f t="shared" si="12"/>
        <v>0</v>
      </c>
      <c r="AK31" s="23">
        <f t="shared" si="13"/>
        <v>0</v>
      </c>
      <c r="AL31" s="23">
        <f t="shared" si="14"/>
        <v>0</v>
      </c>
      <c r="AM31" s="23">
        <f t="shared" si="15"/>
        <v>0</v>
      </c>
      <c r="AN31" s="23">
        <f t="shared" si="16"/>
        <v>0</v>
      </c>
      <c r="AO31" s="23"/>
      <c r="AP31" s="23"/>
      <c r="AQ31" s="32">
        <f t="shared" si="17"/>
        <v>42736</v>
      </c>
      <c r="AR31" s="32">
        <f t="shared" si="18"/>
        <v>42916</v>
      </c>
      <c r="AS31" s="51">
        <v>30</v>
      </c>
      <c r="AT31" s="47">
        <f t="shared" si="19"/>
        <v>0</v>
      </c>
      <c r="AU31" s="47">
        <f t="shared" si="20"/>
        <v>26</v>
      </c>
      <c r="AV31" s="47">
        <f t="shared" si="21"/>
        <v>0</v>
      </c>
      <c r="AW31" s="47">
        <f t="shared" si="22"/>
        <v>0</v>
      </c>
      <c r="AX31" s="47">
        <f t="shared" si="23"/>
        <v>0</v>
      </c>
      <c r="AY31" s="23">
        <f t="shared" si="24"/>
        <v>0.143646408839779</v>
      </c>
      <c r="AZ31" s="23">
        <f t="shared" si="25"/>
        <v>4.6685082872928177E-2</v>
      </c>
      <c r="BA31" s="23">
        <f t="shared" si="26"/>
        <v>1.4005524861878453</v>
      </c>
      <c r="BB31" s="23">
        <f t="shared" si="27"/>
        <v>1.4005524861878453</v>
      </c>
      <c r="BC31" s="23">
        <f t="shared" si="28"/>
        <v>0</v>
      </c>
      <c r="BD31" s="23">
        <f t="shared" si="29"/>
        <v>1.4005524861878453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E13"/>
  <sheetViews>
    <sheetView topLeftCell="H1" workbookViewId="0">
      <selection activeCell="O12" sqref="O12"/>
    </sheetView>
  </sheetViews>
  <sheetFormatPr defaultRowHeight="15"/>
  <cols>
    <col min="4" max="4" width="16.5703125" bestFit="1" customWidth="1"/>
    <col min="5" max="5" width="19.85546875" bestFit="1" customWidth="1"/>
    <col min="6" max="6" width="28.85546875" bestFit="1" customWidth="1"/>
    <col min="7" max="7" width="10" bestFit="1" customWidth="1"/>
    <col min="8" max="8" width="35.85546875" bestFit="1" customWidth="1"/>
    <col min="9" max="9" width="29.85546875" bestFit="1" customWidth="1"/>
    <col min="14" max="14" width="83.7109375" customWidth="1"/>
    <col min="15" max="15" width="10.7109375" bestFit="1" customWidth="1"/>
    <col min="16" max="16" width="12.42578125" bestFit="1" customWidth="1"/>
    <col min="20" max="20" width="2.85546875" customWidth="1"/>
    <col min="25" max="25" width="3.85546875" customWidth="1"/>
    <col min="26" max="26" width="8.7109375" customWidth="1"/>
    <col min="27" max="28" width="11.85546875" customWidth="1"/>
    <col min="43" max="44" width="10.7109375" bestFit="1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41.2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60" t="s">
        <v>71</v>
      </c>
      <c r="P2" s="60" t="s">
        <v>72</v>
      </c>
      <c r="Q2" s="60" t="s">
        <v>73</v>
      </c>
      <c r="R2" s="76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38</v>
      </c>
      <c r="C3" s="47" t="s">
        <v>22</v>
      </c>
      <c r="D3" s="47" t="s">
        <v>39</v>
      </c>
      <c r="E3" s="51" t="s">
        <v>154</v>
      </c>
      <c r="F3" s="51" t="s">
        <v>108</v>
      </c>
      <c r="G3" s="51" t="s">
        <v>109</v>
      </c>
      <c r="H3" s="47" t="s">
        <v>224</v>
      </c>
      <c r="I3" s="47" t="s">
        <v>167</v>
      </c>
      <c r="J3" s="51" t="s">
        <v>112</v>
      </c>
      <c r="K3" s="51" t="s">
        <v>112</v>
      </c>
      <c r="L3" s="51" t="s">
        <v>148</v>
      </c>
      <c r="M3" s="47">
        <v>1974946</v>
      </c>
      <c r="N3" s="50" t="s">
        <v>703</v>
      </c>
      <c r="O3" s="55">
        <f>DATE(2014,10,1)</f>
        <v>41913</v>
      </c>
      <c r="P3" s="55">
        <f>DATE(2016,11,30)</f>
        <v>42704</v>
      </c>
      <c r="Q3" s="51">
        <v>1680</v>
      </c>
      <c r="R3" s="49"/>
      <c r="S3" s="51">
        <v>1</v>
      </c>
      <c r="U3" s="47">
        <f t="shared" ref="U3:U13" si="0">P3-O3+1</f>
        <v>792</v>
      </c>
      <c r="V3" s="31">
        <f t="shared" ref="V3:V13" si="1">Q3/U3</f>
        <v>2.1212121212121211</v>
      </c>
      <c r="W3" s="31">
        <f t="shared" ref="W3:W13" si="2">IF(U3&gt;365,V3*365,Q3)</f>
        <v>774.24242424242425</v>
      </c>
      <c r="X3" s="31">
        <f t="shared" ref="X3:X13" si="3">IF(U3&gt;365,W3/800,Q3/800)</f>
        <v>0.96780303030303028</v>
      </c>
      <c r="Y3" s="31"/>
      <c r="Z3" s="31"/>
      <c r="AA3" s="77">
        <f t="shared" ref="AA3:AA13" si="4">DATE(2016,7,1)</f>
        <v>42552</v>
      </c>
      <c r="AB3" s="77">
        <f t="shared" ref="AB3:AB13" si="5">DATE(2016,12,31)</f>
        <v>42735</v>
      </c>
      <c r="AC3" s="50">
        <v>27</v>
      </c>
      <c r="AD3" s="47">
        <f t="shared" ref="AD3:AD13" si="6">IF(AND(O3&lt;AA3,P3&gt;AB3),AB3-AA3+1,0)</f>
        <v>0</v>
      </c>
      <c r="AE3" s="47">
        <f t="shared" ref="AE3:AE13" si="7">IF(AND(O3&gt;=AA3,P3&gt;AB3,O3&lt;AB3),AB3-O3+1,0)</f>
        <v>0</v>
      </c>
      <c r="AF3" s="47">
        <f t="shared" ref="AF3:AF13" si="8">IF(AND(O3&lt;AA3,P3&lt;=AB3,P3&gt;=AA3),P3-AA3+1,0)</f>
        <v>153</v>
      </c>
      <c r="AG3" s="47">
        <f t="shared" ref="AG3:AG13" si="9">IF(AND(O3&gt;=AA3,P3&lt;=AB3),P3-O3+1,0)</f>
        <v>0</v>
      </c>
      <c r="AH3" s="47">
        <f t="shared" ref="AH3:AH13" si="10">IF(AND(O3&lt;AA3,P3&lt;AA3),(AB3-AA3+1)/2,0)</f>
        <v>0</v>
      </c>
      <c r="AI3" s="23">
        <f t="shared" ref="AI3:AI13" si="11">SUM(AD3:AH3)/(AB3-AA3+1)</f>
        <v>0.83152173913043481</v>
      </c>
      <c r="AJ3" s="23">
        <f t="shared" ref="AJ3:AJ13" si="12">X3*AI3</f>
        <v>0.80474925889328064</v>
      </c>
      <c r="AK3" s="23">
        <f t="shared" ref="AK3:AK13" si="13">IF(AH3=0,AJ3*AC3,IF(AA3-P3&gt;1095,0,AJ3*(AC3/2)))</f>
        <v>21.728229990118578</v>
      </c>
      <c r="AL3" s="23">
        <f t="shared" ref="AL3:AL13" si="14">AK3*S3</f>
        <v>21.728229990118578</v>
      </c>
      <c r="AM3" s="23">
        <f t="shared" ref="AM3:AM13" si="15">IF(J3="SIM",AL3*50%,0)</f>
        <v>0</v>
      </c>
      <c r="AN3" s="23">
        <f t="shared" ref="AN3:AN13" si="16">AL3+AM3</f>
        <v>21.728229990118578</v>
      </c>
      <c r="AO3" s="23"/>
      <c r="AP3" s="23"/>
      <c r="AQ3" s="32">
        <f t="shared" ref="AQ3:AQ13" si="17">DATE(2017,1,1)</f>
        <v>42736</v>
      </c>
      <c r="AR3" s="32">
        <f t="shared" ref="AR3:AR13" si="18">DATE(2017,6,30)</f>
        <v>42916</v>
      </c>
      <c r="AS3" s="50">
        <v>19</v>
      </c>
      <c r="AT3" s="47">
        <f t="shared" ref="AT3:AT13" si="19">IF(AND(O3&lt;AQ3,P3&gt;AR3),AR3-AQ3+1,0)</f>
        <v>0</v>
      </c>
      <c r="AU3" s="47">
        <f t="shared" ref="AU3:AU13" si="20">IF(AND(O3&gt;=AQ3,P3&gt;AR3,O3&lt;AR3),AR3-O3+1,0)</f>
        <v>0</v>
      </c>
      <c r="AV3" s="47">
        <f t="shared" ref="AV3:AV13" si="21">IF(AND(O3&lt;AQ3,P3&lt;=AR3,P3&gt;=AQ3),P3-AQ3+1,0)</f>
        <v>0</v>
      </c>
      <c r="AW3" s="47">
        <f t="shared" ref="AW3:AW13" si="22">IF(AND(O3&gt;=AQ3,P3&lt;=AR3),P3-O3+1,0)</f>
        <v>0</v>
      </c>
      <c r="AX3" s="47">
        <f t="shared" ref="AX3:AX13" si="23">IF(AND(O3&lt;AQ3,P3&lt;AQ3),(AR3-AQ3+1)/2,0)</f>
        <v>90.5</v>
      </c>
      <c r="AY3" s="23">
        <f t="shared" ref="AY3:AY13" si="24">SUM(AT3:AX3)/(AR3-AQ3+1)</f>
        <v>0.5</v>
      </c>
      <c r="AZ3" s="23">
        <f t="shared" ref="AZ3:AZ13" si="25">X3*AY3</f>
        <v>0.48390151515151514</v>
      </c>
      <c r="BA3" s="23">
        <f t="shared" ref="BA3:BA13" si="26">IF(AX3=0,AZ3*AS3,IF(AQ3-P3&gt;1095,0,AZ3*(AS3/2)))</f>
        <v>4.5970643939393936</v>
      </c>
      <c r="BB3" s="23">
        <f t="shared" ref="BB3:BB13" si="27">BA3*S3</f>
        <v>4.5970643939393936</v>
      </c>
      <c r="BC3" s="23">
        <f t="shared" ref="BC3:BC13" si="28">IF(J3="SIM",BB3*50%,0)</f>
        <v>0</v>
      </c>
      <c r="BD3" s="23">
        <f t="shared" ref="BD3:BD13" si="29">BB3+BC3</f>
        <v>4.5970643939393936</v>
      </c>
    </row>
    <row r="4" spans="1:57" s="47" customFormat="1">
      <c r="A4" s="47" t="s">
        <v>20</v>
      </c>
      <c r="B4" s="47" t="s">
        <v>38</v>
      </c>
      <c r="C4" s="47" t="s">
        <v>22</v>
      </c>
      <c r="D4" s="47" t="s">
        <v>39</v>
      </c>
      <c r="E4" s="51" t="s">
        <v>107</v>
      </c>
      <c r="F4" s="51" t="s">
        <v>108</v>
      </c>
      <c r="G4" s="51" t="s">
        <v>109</v>
      </c>
      <c r="H4" s="47" t="s">
        <v>110</v>
      </c>
      <c r="I4" s="47" t="s">
        <v>111</v>
      </c>
      <c r="J4" s="51" t="s">
        <v>112</v>
      </c>
      <c r="K4" s="51" t="s">
        <v>112</v>
      </c>
      <c r="L4" s="51" t="s">
        <v>112</v>
      </c>
      <c r="M4" s="47">
        <v>1997921</v>
      </c>
      <c r="N4" s="51" t="s">
        <v>704</v>
      </c>
      <c r="O4" s="55">
        <f>DATE(2015,8,17)</f>
        <v>42233</v>
      </c>
      <c r="P4" s="55">
        <f>DATE(2017,1,31)</f>
        <v>42766</v>
      </c>
      <c r="Q4" s="51">
        <v>1440</v>
      </c>
      <c r="R4" s="49"/>
      <c r="S4" s="51">
        <v>2</v>
      </c>
      <c r="U4" s="47">
        <f t="shared" si="0"/>
        <v>534</v>
      </c>
      <c r="V4" s="31">
        <f t="shared" si="1"/>
        <v>2.696629213483146</v>
      </c>
      <c r="W4" s="31">
        <f t="shared" si="2"/>
        <v>984.2696629213483</v>
      </c>
      <c r="X4" s="31">
        <f t="shared" si="3"/>
        <v>1.2303370786516854</v>
      </c>
      <c r="Y4" s="31"/>
      <c r="Z4" s="31"/>
      <c r="AA4" s="77">
        <f t="shared" si="4"/>
        <v>42552</v>
      </c>
      <c r="AB4" s="77">
        <f t="shared" si="5"/>
        <v>42735</v>
      </c>
      <c r="AC4" s="51">
        <v>54</v>
      </c>
      <c r="AD4" s="47">
        <f t="shared" si="6"/>
        <v>184</v>
      </c>
      <c r="AE4" s="47">
        <f t="shared" si="7"/>
        <v>0</v>
      </c>
      <c r="AF4" s="47">
        <f t="shared" si="8"/>
        <v>0</v>
      </c>
      <c r="AG4" s="47">
        <f t="shared" si="9"/>
        <v>0</v>
      </c>
      <c r="AH4" s="47">
        <f t="shared" si="10"/>
        <v>0</v>
      </c>
      <c r="AI4" s="23">
        <f t="shared" si="11"/>
        <v>1</v>
      </c>
      <c r="AJ4" s="23">
        <f t="shared" si="12"/>
        <v>1.2303370786516854</v>
      </c>
      <c r="AK4" s="23">
        <f t="shared" si="13"/>
        <v>66.438202247191015</v>
      </c>
      <c r="AL4" s="23">
        <f t="shared" si="14"/>
        <v>132.87640449438203</v>
      </c>
      <c r="AM4" s="23">
        <f t="shared" si="15"/>
        <v>0</v>
      </c>
      <c r="AN4" s="23">
        <f t="shared" si="16"/>
        <v>132.87640449438203</v>
      </c>
      <c r="AO4" s="23"/>
      <c r="AP4" s="23"/>
      <c r="AQ4" s="32">
        <f t="shared" si="17"/>
        <v>42736</v>
      </c>
      <c r="AR4" s="32">
        <f t="shared" si="18"/>
        <v>42916</v>
      </c>
      <c r="AS4" s="51">
        <v>50</v>
      </c>
      <c r="AT4" s="47">
        <f t="shared" si="19"/>
        <v>0</v>
      </c>
      <c r="AU4" s="47">
        <f t="shared" si="20"/>
        <v>0</v>
      </c>
      <c r="AV4" s="47">
        <f t="shared" si="21"/>
        <v>31</v>
      </c>
      <c r="AW4" s="47">
        <f t="shared" si="22"/>
        <v>0</v>
      </c>
      <c r="AX4" s="47">
        <f t="shared" si="23"/>
        <v>0</v>
      </c>
      <c r="AY4" s="23">
        <f t="shared" si="24"/>
        <v>0.17127071823204421</v>
      </c>
      <c r="AZ4" s="23">
        <f t="shared" si="25"/>
        <v>0.21072071512818921</v>
      </c>
      <c r="BA4" s="23">
        <f t="shared" si="26"/>
        <v>10.536035756409461</v>
      </c>
      <c r="BB4" s="23">
        <f t="shared" si="27"/>
        <v>21.072071512818923</v>
      </c>
      <c r="BC4" s="23">
        <f t="shared" si="28"/>
        <v>0</v>
      </c>
      <c r="BD4" s="23">
        <f t="shared" si="29"/>
        <v>21.072071512818923</v>
      </c>
    </row>
    <row r="5" spans="1:57" s="47" customFormat="1">
      <c r="A5" s="47" t="s">
        <v>20</v>
      </c>
      <c r="B5" s="47" t="s">
        <v>38</v>
      </c>
      <c r="C5" s="47" t="s">
        <v>22</v>
      </c>
      <c r="D5" s="47" t="s">
        <v>39</v>
      </c>
      <c r="E5" s="51" t="s">
        <v>107</v>
      </c>
      <c r="F5" s="51" t="s">
        <v>108</v>
      </c>
      <c r="G5" s="51" t="s">
        <v>109</v>
      </c>
      <c r="H5" s="47" t="s">
        <v>110</v>
      </c>
      <c r="I5" s="47" t="s">
        <v>111</v>
      </c>
      <c r="J5" s="51" t="s">
        <v>112</v>
      </c>
      <c r="K5" s="51" t="s">
        <v>112</v>
      </c>
      <c r="L5" s="51" t="s">
        <v>112</v>
      </c>
      <c r="M5" s="47">
        <v>2023890</v>
      </c>
      <c r="N5" s="51" t="s">
        <v>705</v>
      </c>
      <c r="O5" s="55">
        <f>DATE(2016,3,16)</f>
        <v>42445</v>
      </c>
      <c r="P5" s="55">
        <f>DATE(2017,9,29)</f>
        <v>43007</v>
      </c>
      <c r="Q5" s="51">
        <v>1440</v>
      </c>
      <c r="R5" s="49"/>
      <c r="S5" s="51">
        <v>2</v>
      </c>
      <c r="U5" s="47">
        <f t="shared" si="0"/>
        <v>563</v>
      </c>
      <c r="V5" s="31">
        <f t="shared" si="1"/>
        <v>2.5577264653641207</v>
      </c>
      <c r="W5" s="31">
        <f t="shared" si="2"/>
        <v>933.57015985790406</v>
      </c>
      <c r="X5" s="31">
        <f t="shared" si="3"/>
        <v>1.1669626998223801</v>
      </c>
      <c r="Y5" s="31"/>
      <c r="Z5" s="31"/>
      <c r="AA5" s="77">
        <f t="shared" si="4"/>
        <v>42552</v>
      </c>
      <c r="AB5" s="77">
        <f t="shared" si="5"/>
        <v>42735</v>
      </c>
      <c r="AC5" s="51">
        <v>75</v>
      </c>
      <c r="AD5" s="47">
        <f t="shared" si="6"/>
        <v>184</v>
      </c>
      <c r="AE5" s="47">
        <f t="shared" si="7"/>
        <v>0</v>
      </c>
      <c r="AF5" s="47">
        <f t="shared" si="8"/>
        <v>0</v>
      </c>
      <c r="AG5" s="47">
        <f t="shared" si="9"/>
        <v>0</v>
      </c>
      <c r="AH5" s="47">
        <f t="shared" si="10"/>
        <v>0</v>
      </c>
      <c r="AI5" s="23">
        <f t="shared" si="11"/>
        <v>1</v>
      </c>
      <c r="AJ5" s="23">
        <f t="shared" si="12"/>
        <v>1.1669626998223801</v>
      </c>
      <c r="AK5" s="23">
        <f t="shared" si="13"/>
        <v>87.522202486678509</v>
      </c>
      <c r="AL5" s="23">
        <f t="shared" si="14"/>
        <v>175.04440497335702</v>
      </c>
      <c r="AM5" s="23">
        <f t="shared" si="15"/>
        <v>0</v>
      </c>
      <c r="AN5" s="23">
        <f t="shared" si="16"/>
        <v>175.04440497335702</v>
      </c>
      <c r="AO5" s="23"/>
      <c r="AP5" s="23"/>
      <c r="AQ5" s="32">
        <f t="shared" si="17"/>
        <v>42736</v>
      </c>
      <c r="AR5" s="32">
        <f t="shared" si="18"/>
        <v>42916</v>
      </c>
      <c r="AS5" s="51">
        <v>67</v>
      </c>
      <c r="AT5" s="47">
        <f t="shared" si="19"/>
        <v>181</v>
      </c>
      <c r="AU5" s="47">
        <f t="shared" si="20"/>
        <v>0</v>
      </c>
      <c r="AV5" s="47">
        <f t="shared" si="21"/>
        <v>0</v>
      </c>
      <c r="AW5" s="47">
        <f t="shared" si="22"/>
        <v>0</v>
      </c>
      <c r="AX5" s="47">
        <f t="shared" si="23"/>
        <v>0</v>
      </c>
      <c r="AY5" s="23">
        <f t="shared" si="24"/>
        <v>1</v>
      </c>
      <c r="AZ5" s="23">
        <f t="shared" si="25"/>
        <v>1.1669626998223801</v>
      </c>
      <c r="BA5" s="23">
        <f t="shared" si="26"/>
        <v>78.186500888099474</v>
      </c>
      <c r="BB5" s="23">
        <f t="shared" si="27"/>
        <v>156.37300177619895</v>
      </c>
      <c r="BC5" s="23">
        <f t="shared" si="28"/>
        <v>0</v>
      </c>
      <c r="BD5" s="23">
        <f t="shared" si="29"/>
        <v>156.37300177619895</v>
      </c>
    </row>
    <row r="6" spans="1:57" s="47" customFormat="1">
      <c r="A6" s="47" t="s">
        <v>20</v>
      </c>
      <c r="B6" s="47" t="s">
        <v>38</v>
      </c>
      <c r="C6" s="47" t="s">
        <v>22</v>
      </c>
      <c r="D6" s="47" t="s">
        <v>39</v>
      </c>
      <c r="E6" s="51" t="s">
        <v>107</v>
      </c>
      <c r="F6" s="51" t="s">
        <v>232</v>
      </c>
      <c r="G6" s="51" t="s">
        <v>109</v>
      </c>
      <c r="H6" s="47" t="s">
        <v>683</v>
      </c>
      <c r="I6" s="47" t="s">
        <v>147</v>
      </c>
      <c r="J6" s="51" t="s">
        <v>112</v>
      </c>
      <c r="K6" s="51" t="s">
        <v>112</v>
      </c>
      <c r="L6" s="51" t="s">
        <v>112</v>
      </c>
      <c r="M6" s="47">
        <v>2035356</v>
      </c>
      <c r="N6" s="50" t="s">
        <v>706</v>
      </c>
      <c r="O6" s="55">
        <f>DATE(2016,8,13)</f>
        <v>42595</v>
      </c>
      <c r="P6" s="55">
        <f>DATE(2016,12,13)</f>
        <v>42717</v>
      </c>
      <c r="Q6" s="51">
        <v>200</v>
      </c>
      <c r="R6" s="49"/>
      <c r="S6" s="51">
        <v>1</v>
      </c>
      <c r="U6" s="47">
        <f t="shared" si="0"/>
        <v>123</v>
      </c>
      <c r="V6" s="31">
        <f t="shared" si="1"/>
        <v>1.6260162601626016</v>
      </c>
      <c r="W6" s="31">
        <f t="shared" si="2"/>
        <v>200</v>
      </c>
      <c r="X6" s="31">
        <f t="shared" si="3"/>
        <v>0.25</v>
      </c>
      <c r="Y6" s="31"/>
      <c r="Z6" s="31"/>
      <c r="AA6" s="77">
        <f t="shared" si="4"/>
        <v>42552</v>
      </c>
      <c r="AB6" s="77">
        <f t="shared" si="5"/>
        <v>42735</v>
      </c>
      <c r="AC6" s="50">
        <v>20</v>
      </c>
      <c r="AD6" s="47">
        <f t="shared" si="6"/>
        <v>0</v>
      </c>
      <c r="AE6" s="47">
        <f t="shared" si="7"/>
        <v>0</v>
      </c>
      <c r="AF6" s="47">
        <f t="shared" si="8"/>
        <v>0</v>
      </c>
      <c r="AG6" s="47">
        <f t="shared" si="9"/>
        <v>123</v>
      </c>
      <c r="AH6" s="47">
        <f t="shared" si="10"/>
        <v>0</v>
      </c>
      <c r="AI6" s="23">
        <f t="shared" si="11"/>
        <v>0.66847826086956519</v>
      </c>
      <c r="AJ6" s="23">
        <f t="shared" si="12"/>
        <v>0.1671195652173913</v>
      </c>
      <c r="AK6" s="23">
        <f t="shared" si="13"/>
        <v>3.3423913043478262</v>
      </c>
      <c r="AL6" s="23">
        <f t="shared" si="14"/>
        <v>3.3423913043478262</v>
      </c>
      <c r="AM6" s="23">
        <f t="shared" si="15"/>
        <v>0</v>
      </c>
      <c r="AN6" s="23">
        <f t="shared" si="16"/>
        <v>3.3423913043478262</v>
      </c>
      <c r="AO6" s="23"/>
      <c r="AP6" s="23"/>
      <c r="AQ6" s="32">
        <f t="shared" si="17"/>
        <v>42736</v>
      </c>
      <c r="AR6" s="32">
        <f t="shared" si="18"/>
        <v>42916</v>
      </c>
      <c r="AS6" s="50">
        <v>19</v>
      </c>
      <c r="AT6" s="47">
        <f t="shared" si="19"/>
        <v>0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90.5</v>
      </c>
      <c r="AY6" s="23">
        <f t="shared" si="24"/>
        <v>0.5</v>
      </c>
      <c r="AZ6" s="23">
        <f t="shared" si="25"/>
        <v>0.125</v>
      </c>
      <c r="BA6" s="23">
        <f t="shared" si="26"/>
        <v>1.1875</v>
      </c>
      <c r="BB6" s="23">
        <f t="shared" si="27"/>
        <v>1.1875</v>
      </c>
      <c r="BC6" s="23">
        <f t="shared" si="28"/>
        <v>0</v>
      </c>
      <c r="BD6" s="23">
        <f t="shared" si="29"/>
        <v>1.1875</v>
      </c>
    </row>
    <row r="7" spans="1:57" s="47" customFormat="1">
      <c r="A7" s="47" t="s">
        <v>20</v>
      </c>
      <c r="B7" s="47" t="s">
        <v>38</v>
      </c>
      <c r="C7" s="47" t="s">
        <v>22</v>
      </c>
      <c r="D7" s="47" t="s">
        <v>39</v>
      </c>
      <c r="E7" s="51" t="s">
        <v>107</v>
      </c>
      <c r="F7" s="51" t="s">
        <v>232</v>
      </c>
      <c r="G7" s="51" t="s">
        <v>109</v>
      </c>
      <c r="H7" s="47" t="s">
        <v>707</v>
      </c>
      <c r="J7" s="51" t="s">
        <v>112</v>
      </c>
      <c r="K7" s="51" t="s">
        <v>112</v>
      </c>
      <c r="L7" s="51" t="s">
        <v>112</v>
      </c>
      <c r="M7" s="47">
        <v>2035357</v>
      </c>
      <c r="N7" s="50" t="s">
        <v>708</v>
      </c>
      <c r="O7" s="55">
        <f>DATE(2016,8,13)</f>
        <v>42595</v>
      </c>
      <c r="P7" s="55">
        <f>DATE(2016,12,13)</f>
        <v>42717</v>
      </c>
      <c r="Q7" s="51">
        <v>360</v>
      </c>
      <c r="R7" s="49"/>
      <c r="S7" s="51">
        <v>1</v>
      </c>
      <c r="U7" s="47">
        <f t="shared" si="0"/>
        <v>123</v>
      </c>
      <c r="V7" s="31">
        <f t="shared" si="1"/>
        <v>2.9268292682926829</v>
      </c>
      <c r="W7" s="31">
        <f t="shared" si="2"/>
        <v>360</v>
      </c>
      <c r="X7" s="31">
        <f t="shared" si="3"/>
        <v>0.45</v>
      </c>
      <c r="Y7" s="31"/>
      <c r="Z7" s="31"/>
      <c r="AA7" s="77">
        <f t="shared" si="4"/>
        <v>42552</v>
      </c>
      <c r="AB7" s="77">
        <f t="shared" si="5"/>
        <v>42735</v>
      </c>
      <c r="AC7" s="50">
        <v>20</v>
      </c>
      <c r="AD7" s="47">
        <f t="shared" si="6"/>
        <v>0</v>
      </c>
      <c r="AE7" s="47">
        <f t="shared" si="7"/>
        <v>0</v>
      </c>
      <c r="AF7" s="47">
        <f t="shared" si="8"/>
        <v>0</v>
      </c>
      <c r="AG7" s="47">
        <f t="shared" si="9"/>
        <v>123</v>
      </c>
      <c r="AH7" s="47">
        <f t="shared" si="10"/>
        <v>0</v>
      </c>
      <c r="AI7" s="23">
        <f t="shared" si="11"/>
        <v>0.66847826086956519</v>
      </c>
      <c r="AJ7" s="23">
        <f t="shared" si="12"/>
        <v>0.30081521739130435</v>
      </c>
      <c r="AK7" s="23">
        <f t="shared" si="13"/>
        <v>6.0163043478260869</v>
      </c>
      <c r="AL7" s="23">
        <f t="shared" si="14"/>
        <v>6.0163043478260869</v>
      </c>
      <c r="AM7" s="23">
        <f t="shared" si="15"/>
        <v>0</v>
      </c>
      <c r="AN7" s="23">
        <f t="shared" si="16"/>
        <v>6.0163043478260869</v>
      </c>
      <c r="AO7" s="23"/>
      <c r="AP7" s="23"/>
      <c r="AQ7" s="32">
        <f t="shared" si="17"/>
        <v>42736</v>
      </c>
      <c r="AR7" s="32">
        <f t="shared" si="18"/>
        <v>42916</v>
      </c>
      <c r="AS7" s="50">
        <v>19</v>
      </c>
      <c r="AT7" s="47">
        <f t="shared" si="19"/>
        <v>0</v>
      </c>
      <c r="AU7" s="47">
        <f t="shared" si="20"/>
        <v>0</v>
      </c>
      <c r="AV7" s="47">
        <f t="shared" si="21"/>
        <v>0</v>
      </c>
      <c r="AW7" s="47">
        <f t="shared" si="22"/>
        <v>0</v>
      </c>
      <c r="AX7" s="47">
        <f t="shared" si="23"/>
        <v>90.5</v>
      </c>
      <c r="AY7" s="23">
        <f t="shared" si="24"/>
        <v>0.5</v>
      </c>
      <c r="AZ7" s="23">
        <f t="shared" si="25"/>
        <v>0.22500000000000001</v>
      </c>
      <c r="BA7" s="23">
        <f t="shared" si="26"/>
        <v>2.1375000000000002</v>
      </c>
      <c r="BB7" s="23">
        <f t="shared" si="27"/>
        <v>2.1375000000000002</v>
      </c>
      <c r="BC7" s="23">
        <f t="shared" si="28"/>
        <v>0</v>
      </c>
      <c r="BD7" s="23">
        <f t="shared" si="29"/>
        <v>2.1375000000000002</v>
      </c>
    </row>
    <row r="8" spans="1:57" s="47" customFormat="1">
      <c r="A8" s="47" t="s">
        <v>20</v>
      </c>
      <c r="B8" s="47" t="s">
        <v>38</v>
      </c>
      <c r="C8" s="47" t="s">
        <v>22</v>
      </c>
      <c r="D8" s="47" t="s">
        <v>39</v>
      </c>
      <c r="E8" s="51" t="s">
        <v>107</v>
      </c>
      <c r="F8" s="51" t="s">
        <v>232</v>
      </c>
      <c r="G8" s="51" t="s">
        <v>109</v>
      </c>
      <c r="H8" s="47" t="s">
        <v>242</v>
      </c>
      <c r="I8" s="47" t="s">
        <v>111</v>
      </c>
      <c r="J8" s="51" t="s">
        <v>112</v>
      </c>
      <c r="K8" s="51" t="s">
        <v>112</v>
      </c>
      <c r="L8" s="51" t="s">
        <v>112</v>
      </c>
      <c r="M8" s="47">
        <v>2035359</v>
      </c>
      <c r="N8" s="50" t="s">
        <v>243</v>
      </c>
      <c r="O8" s="55">
        <f>DATE(2016,8,13)</f>
        <v>42595</v>
      </c>
      <c r="P8" s="55">
        <f>DATE(2016,12,13)</f>
        <v>42717</v>
      </c>
      <c r="Q8" s="51">
        <v>160</v>
      </c>
      <c r="R8" s="49"/>
      <c r="S8" s="51">
        <v>1</v>
      </c>
      <c r="U8" s="47">
        <f t="shared" si="0"/>
        <v>123</v>
      </c>
      <c r="V8" s="31">
        <f t="shared" si="1"/>
        <v>1.3008130081300813</v>
      </c>
      <c r="W8" s="31">
        <f t="shared" si="2"/>
        <v>160</v>
      </c>
      <c r="X8" s="31">
        <f t="shared" si="3"/>
        <v>0.2</v>
      </c>
      <c r="Y8" s="31"/>
      <c r="Z8" s="31"/>
      <c r="AA8" s="77">
        <f t="shared" si="4"/>
        <v>42552</v>
      </c>
      <c r="AB8" s="77">
        <f t="shared" si="5"/>
        <v>42735</v>
      </c>
      <c r="AC8" s="50">
        <v>20</v>
      </c>
      <c r="AD8" s="47">
        <f t="shared" si="6"/>
        <v>0</v>
      </c>
      <c r="AE8" s="47">
        <f t="shared" si="7"/>
        <v>0</v>
      </c>
      <c r="AF8" s="47">
        <f t="shared" si="8"/>
        <v>0</v>
      </c>
      <c r="AG8" s="47">
        <f t="shared" si="9"/>
        <v>123</v>
      </c>
      <c r="AH8" s="47">
        <f t="shared" si="10"/>
        <v>0</v>
      </c>
      <c r="AI8" s="23">
        <f t="shared" si="11"/>
        <v>0.66847826086956519</v>
      </c>
      <c r="AJ8" s="23">
        <f t="shared" si="12"/>
        <v>0.13369565217391305</v>
      </c>
      <c r="AK8" s="23">
        <f t="shared" si="13"/>
        <v>2.6739130434782608</v>
      </c>
      <c r="AL8" s="23">
        <f t="shared" si="14"/>
        <v>2.6739130434782608</v>
      </c>
      <c r="AM8" s="23">
        <f t="shared" si="15"/>
        <v>0</v>
      </c>
      <c r="AN8" s="23">
        <f t="shared" si="16"/>
        <v>2.6739130434782608</v>
      </c>
      <c r="AO8" s="23"/>
      <c r="AP8" s="23"/>
      <c r="AQ8" s="32">
        <f t="shared" si="17"/>
        <v>42736</v>
      </c>
      <c r="AR8" s="32">
        <f t="shared" si="18"/>
        <v>42916</v>
      </c>
      <c r="AS8" s="50">
        <v>20</v>
      </c>
      <c r="AT8" s="47">
        <f t="shared" si="19"/>
        <v>0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90.5</v>
      </c>
      <c r="AY8" s="23">
        <f t="shared" si="24"/>
        <v>0.5</v>
      </c>
      <c r="AZ8" s="23">
        <f t="shared" si="25"/>
        <v>0.1</v>
      </c>
      <c r="BA8" s="23">
        <f t="shared" si="26"/>
        <v>1</v>
      </c>
      <c r="BB8" s="23">
        <f t="shared" si="27"/>
        <v>1</v>
      </c>
      <c r="BC8" s="23">
        <f t="shared" si="28"/>
        <v>0</v>
      </c>
      <c r="BD8" s="23">
        <f t="shared" si="29"/>
        <v>1</v>
      </c>
    </row>
    <row r="9" spans="1:57" s="47" customFormat="1">
      <c r="A9" s="47" t="s">
        <v>20</v>
      </c>
      <c r="B9" s="47" t="s">
        <v>38</v>
      </c>
      <c r="C9" s="47" t="s">
        <v>22</v>
      </c>
      <c r="D9" s="47" t="s">
        <v>39</v>
      </c>
      <c r="E9" s="51" t="s">
        <v>107</v>
      </c>
      <c r="F9" s="51" t="s">
        <v>439</v>
      </c>
      <c r="G9" s="51" t="s">
        <v>109</v>
      </c>
      <c r="H9" s="47" t="s">
        <v>709</v>
      </c>
      <c r="I9" s="47" t="s">
        <v>147</v>
      </c>
      <c r="J9" s="51" t="s">
        <v>112</v>
      </c>
      <c r="K9" s="51" t="s">
        <v>112</v>
      </c>
      <c r="L9" s="51" t="s">
        <v>112</v>
      </c>
      <c r="M9" s="47">
        <v>2151559</v>
      </c>
      <c r="N9" s="52" t="s">
        <v>710</v>
      </c>
      <c r="O9" s="55">
        <f>DATE(2017,3,23)</f>
        <v>42817</v>
      </c>
      <c r="P9" s="55">
        <f>DATE(2018,12,21)</f>
        <v>43455</v>
      </c>
      <c r="Q9" s="51">
        <v>390</v>
      </c>
      <c r="R9" s="49"/>
      <c r="S9" s="51">
        <v>2.5</v>
      </c>
      <c r="U9" s="47">
        <f t="shared" si="0"/>
        <v>639</v>
      </c>
      <c r="V9" s="31">
        <f t="shared" si="1"/>
        <v>0.61032863849765262</v>
      </c>
      <c r="W9" s="31">
        <f t="shared" si="2"/>
        <v>222.7699530516432</v>
      </c>
      <c r="X9" s="31">
        <f t="shared" si="3"/>
        <v>0.278462441314554</v>
      </c>
      <c r="Y9" s="31"/>
      <c r="Z9" s="31"/>
      <c r="AA9" s="77">
        <f t="shared" si="4"/>
        <v>42552</v>
      </c>
      <c r="AB9" s="77">
        <f t="shared" si="5"/>
        <v>42735</v>
      </c>
      <c r="AC9" s="52">
        <v>0</v>
      </c>
      <c r="AD9" s="47">
        <f t="shared" si="6"/>
        <v>0</v>
      </c>
      <c r="AE9" s="47">
        <f t="shared" si="7"/>
        <v>0</v>
      </c>
      <c r="AF9" s="47">
        <f t="shared" si="8"/>
        <v>0</v>
      </c>
      <c r="AG9" s="47">
        <f t="shared" si="9"/>
        <v>0</v>
      </c>
      <c r="AH9" s="47">
        <f t="shared" si="10"/>
        <v>0</v>
      </c>
      <c r="AI9" s="23">
        <f t="shared" si="11"/>
        <v>0</v>
      </c>
      <c r="AJ9" s="23">
        <f t="shared" si="12"/>
        <v>0</v>
      </c>
      <c r="AK9" s="23">
        <f t="shared" si="13"/>
        <v>0</v>
      </c>
      <c r="AL9" s="23">
        <f t="shared" si="14"/>
        <v>0</v>
      </c>
      <c r="AM9" s="23">
        <f t="shared" si="15"/>
        <v>0</v>
      </c>
      <c r="AN9" s="23">
        <f t="shared" si="16"/>
        <v>0</v>
      </c>
      <c r="AO9" s="23"/>
      <c r="AP9" s="23"/>
      <c r="AQ9" s="32">
        <f t="shared" si="17"/>
        <v>42736</v>
      </c>
      <c r="AR9" s="32">
        <f t="shared" si="18"/>
        <v>42916</v>
      </c>
      <c r="AS9" s="52">
        <v>30</v>
      </c>
      <c r="AT9" s="47">
        <f t="shared" si="19"/>
        <v>0</v>
      </c>
      <c r="AU9" s="47">
        <f t="shared" si="20"/>
        <v>100</v>
      </c>
      <c r="AV9" s="47">
        <f t="shared" si="21"/>
        <v>0</v>
      </c>
      <c r="AW9" s="47">
        <f t="shared" si="22"/>
        <v>0</v>
      </c>
      <c r="AX9" s="47">
        <f t="shared" si="23"/>
        <v>0</v>
      </c>
      <c r="AY9" s="23">
        <f t="shared" si="24"/>
        <v>0.5524861878453039</v>
      </c>
      <c r="AZ9" s="23">
        <f t="shared" si="25"/>
        <v>0.1538466526599746</v>
      </c>
      <c r="BA9" s="23">
        <f t="shared" si="26"/>
        <v>4.615399579799238</v>
      </c>
      <c r="BB9" s="23">
        <f t="shared" si="27"/>
        <v>11.538498949498095</v>
      </c>
      <c r="BC9" s="23">
        <f t="shared" si="28"/>
        <v>0</v>
      </c>
      <c r="BD9" s="23">
        <f t="shared" si="29"/>
        <v>11.538498949498095</v>
      </c>
    </row>
    <row r="10" spans="1:57" s="47" customFormat="1">
      <c r="A10" s="47" t="s">
        <v>20</v>
      </c>
      <c r="B10" s="47" t="s">
        <v>38</v>
      </c>
      <c r="C10" s="47" t="s">
        <v>22</v>
      </c>
      <c r="D10" s="47" t="s">
        <v>39</v>
      </c>
      <c r="E10" s="51" t="s">
        <v>107</v>
      </c>
      <c r="F10" s="51" t="s">
        <v>108</v>
      </c>
      <c r="G10" s="51" t="s">
        <v>109</v>
      </c>
      <c r="H10" s="47" t="s">
        <v>110</v>
      </c>
      <c r="I10" s="47" t="s">
        <v>111</v>
      </c>
      <c r="J10" s="51" t="s">
        <v>112</v>
      </c>
      <c r="K10" s="51" t="s">
        <v>112</v>
      </c>
      <c r="L10" s="51" t="s">
        <v>112</v>
      </c>
      <c r="M10" s="47">
        <v>2151576</v>
      </c>
      <c r="N10" s="52" t="s">
        <v>711</v>
      </c>
      <c r="O10" s="55">
        <f>DATE(2017,3,27)</f>
        <v>42821</v>
      </c>
      <c r="P10" s="55">
        <f>DATE(2020,12,30)</f>
        <v>44195</v>
      </c>
      <c r="Q10" s="51">
        <v>3469</v>
      </c>
      <c r="R10" s="49"/>
      <c r="S10" s="51">
        <v>2</v>
      </c>
      <c r="U10" s="47">
        <f t="shared" si="0"/>
        <v>1375</v>
      </c>
      <c r="V10" s="31">
        <f t="shared" si="1"/>
        <v>2.5229090909090908</v>
      </c>
      <c r="W10" s="31">
        <f t="shared" si="2"/>
        <v>920.86181818181808</v>
      </c>
      <c r="X10" s="31">
        <f t="shared" si="3"/>
        <v>1.1510772727272727</v>
      </c>
      <c r="Y10" s="31"/>
      <c r="Z10" s="31"/>
      <c r="AA10" s="77">
        <f t="shared" si="4"/>
        <v>42552</v>
      </c>
      <c r="AB10" s="77">
        <f t="shared" si="5"/>
        <v>42735</v>
      </c>
      <c r="AC10" s="52">
        <v>0</v>
      </c>
      <c r="AD10" s="47">
        <f t="shared" si="6"/>
        <v>0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0</v>
      </c>
      <c r="AJ10" s="23">
        <f t="shared" si="12"/>
        <v>0</v>
      </c>
      <c r="AK10" s="23">
        <f t="shared" si="13"/>
        <v>0</v>
      </c>
      <c r="AL10" s="23">
        <f t="shared" si="14"/>
        <v>0</v>
      </c>
      <c r="AM10" s="23">
        <f t="shared" si="15"/>
        <v>0</v>
      </c>
      <c r="AN10" s="23">
        <f t="shared" si="16"/>
        <v>0</v>
      </c>
      <c r="AO10" s="23"/>
      <c r="AP10" s="23"/>
      <c r="AQ10" s="32">
        <f t="shared" si="17"/>
        <v>42736</v>
      </c>
      <c r="AR10" s="32">
        <f t="shared" si="18"/>
        <v>42916</v>
      </c>
      <c r="AS10" s="52">
        <v>40</v>
      </c>
      <c r="AT10" s="47">
        <f t="shared" si="19"/>
        <v>0</v>
      </c>
      <c r="AU10" s="47">
        <f t="shared" si="20"/>
        <v>96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0.53038674033149169</v>
      </c>
      <c r="AZ10" s="23">
        <f t="shared" si="25"/>
        <v>0.61051612255148158</v>
      </c>
      <c r="BA10" s="23">
        <f t="shared" si="26"/>
        <v>24.420644902059262</v>
      </c>
      <c r="BB10" s="23">
        <f t="shared" si="27"/>
        <v>48.841289804118524</v>
      </c>
      <c r="BC10" s="23">
        <f t="shared" si="28"/>
        <v>0</v>
      </c>
      <c r="BD10" s="23">
        <f t="shared" si="29"/>
        <v>48.841289804118524</v>
      </c>
    </row>
    <row r="11" spans="1:57" s="47" customFormat="1">
      <c r="A11" s="74" t="s">
        <v>20</v>
      </c>
      <c r="B11" s="47" t="s">
        <v>38</v>
      </c>
      <c r="C11" s="47" t="s">
        <v>22</v>
      </c>
      <c r="D11" s="47" t="s">
        <v>39</v>
      </c>
      <c r="E11" s="51" t="s">
        <v>107</v>
      </c>
      <c r="F11" s="51" t="s">
        <v>108</v>
      </c>
      <c r="G11" s="51" t="s">
        <v>109</v>
      </c>
      <c r="H11" s="47" t="s">
        <v>110</v>
      </c>
      <c r="I11" s="47" t="s">
        <v>111</v>
      </c>
      <c r="J11" s="51" t="s">
        <v>112</v>
      </c>
      <c r="K11" s="51" t="s">
        <v>112</v>
      </c>
      <c r="L11" s="51" t="s">
        <v>112</v>
      </c>
      <c r="M11" s="47">
        <v>2166684</v>
      </c>
      <c r="N11" s="52" t="s">
        <v>712</v>
      </c>
      <c r="O11" s="55">
        <f>DATE(2017,5,24)</f>
        <v>42879</v>
      </c>
      <c r="P11" s="55">
        <f>DATE(2018,8,31)</f>
        <v>43343</v>
      </c>
      <c r="Q11" s="51">
        <v>1440</v>
      </c>
      <c r="R11" s="49"/>
      <c r="S11" s="51">
        <v>2</v>
      </c>
      <c r="U11" s="47">
        <f t="shared" si="0"/>
        <v>465</v>
      </c>
      <c r="V11" s="31">
        <f t="shared" si="1"/>
        <v>3.096774193548387</v>
      </c>
      <c r="W11" s="31">
        <f t="shared" si="2"/>
        <v>1130.3225806451612</v>
      </c>
      <c r="X11" s="31">
        <f t="shared" si="3"/>
        <v>1.4129032258064516</v>
      </c>
      <c r="Y11" s="31"/>
      <c r="Z11" s="31"/>
      <c r="AA11" s="77">
        <f t="shared" si="4"/>
        <v>42552</v>
      </c>
      <c r="AB11" s="77">
        <f t="shared" si="5"/>
        <v>42735</v>
      </c>
      <c r="AC11" s="52">
        <v>0</v>
      </c>
      <c r="AD11" s="47">
        <f t="shared" si="6"/>
        <v>0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O11" s="23"/>
      <c r="AP11" s="23"/>
      <c r="AQ11" s="32">
        <f t="shared" si="17"/>
        <v>42736</v>
      </c>
      <c r="AR11" s="32">
        <f t="shared" si="18"/>
        <v>42916</v>
      </c>
      <c r="AS11" s="52">
        <v>83</v>
      </c>
      <c r="AT11" s="47">
        <f t="shared" si="19"/>
        <v>0</v>
      </c>
      <c r="AU11" s="47">
        <f t="shared" si="20"/>
        <v>38</v>
      </c>
      <c r="AV11" s="47">
        <f t="shared" si="21"/>
        <v>0</v>
      </c>
      <c r="AW11" s="47">
        <f t="shared" si="22"/>
        <v>0</v>
      </c>
      <c r="AX11" s="47">
        <f t="shared" si="23"/>
        <v>0</v>
      </c>
      <c r="AY11" s="23">
        <f t="shared" si="24"/>
        <v>0.20994475138121546</v>
      </c>
      <c r="AZ11" s="23">
        <f t="shared" si="25"/>
        <v>0.29663161646765279</v>
      </c>
      <c r="BA11" s="23">
        <f t="shared" si="26"/>
        <v>24.62042416681518</v>
      </c>
      <c r="BB11" s="23">
        <f t="shared" si="27"/>
        <v>49.24084833363036</v>
      </c>
      <c r="BC11" s="23">
        <f t="shared" si="28"/>
        <v>0</v>
      </c>
      <c r="BD11" s="23">
        <f t="shared" si="29"/>
        <v>49.24084833363036</v>
      </c>
    </row>
    <row r="12" spans="1:57" s="47" customFormat="1">
      <c r="A12" s="47" t="s">
        <v>20</v>
      </c>
      <c r="B12" s="47" t="s">
        <v>38</v>
      </c>
      <c r="C12" s="47" t="s">
        <v>22</v>
      </c>
      <c r="D12" s="47" t="s">
        <v>39</v>
      </c>
      <c r="E12" s="51" t="s">
        <v>107</v>
      </c>
      <c r="F12" s="51" t="s">
        <v>108</v>
      </c>
      <c r="G12" s="51" t="s">
        <v>109</v>
      </c>
      <c r="H12" s="47" t="s">
        <v>642</v>
      </c>
      <c r="I12" s="47" t="s">
        <v>147</v>
      </c>
      <c r="J12" s="51" t="s">
        <v>148</v>
      </c>
      <c r="K12" s="51" t="s">
        <v>112</v>
      </c>
      <c r="L12" s="51" t="s">
        <v>112</v>
      </c>
      <c r="M12" s="47">
        <v>2166702</v>
      </c>
      <c r="N12" s="52" t="s">
        <v>713</v>
      </c>
      <c r="O12" s="55">
        <f>DATE(2017,5,24)</f>
        <v>42879</v>
      </c>
      <c r="P12" s="55">
        <f>DATE(2018,8,31)</f>
        <v>43343</v>
      </c>
      <c r="Q12" s="51">
        <v>1408</v>
      </c>
      <c r="R12" s="49"/>
      <c r="S12" s="51">
        <v>2.5</v>
      </c>
      <c r="U12" s="47">
        <f t="shared" si="0"/>
        <v>465</v>
      </c>
      <c r="V12" s="31">
        <f t="shared" si="1"/>
        <v>3.0279569892473117</v>
      </c>
      <c r="W12" s="31">
        <f t="shared" si="2"/>
        <v>1105.2043010752689</v>
      </c>
      <c r="X12" s="31">
        <f t="shared" si="3"/>
        <v>1.3815053763440861</v>
      </c>
      <c r="Y12" s="31"/>
      <c r="Z12" s="31"/>
      <c r="AA12" s="77">
        <f t="shared" si="4"/>
        <v>42552</v>
      </c>
      <c r="AB12" s="77">
        <f t="shared" si="5"/>
        <v>42735</v>
      </c>
      <c r="AC12" s="52">
        <v>0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0</v>
      </c>
      <c r="AH12" s="47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O12" s="23"/>
      <c r="AP12" s="23"/>
      <c r="AQ12" s="32">
        <f t="shared" si="17"/>
        <v>42736</v>
      </c>
      <c r="AR12" s="32">
        <f t="shared" si="18"/>
        <v>42916</v>
      </c>
      <c r="AS12" s="52">
        <v>74</v>
      </c>
      <c r="AT12" s="47">
        <f t="shared" si="19"/>
        <v>0</v>
      </c>
      <c r="AU12" s="47">
        <f t="shared" si="20"/>
        <v>38</v>
      </c>
      <c r="AV12" s="47">
        <f t="shared" si="21"/>
        <v>0</v>
      </c>
      <c r="AW12" s="47">
        <f t="shared" si="22"/>
        <v>0</v>
      </c>
      <c r="AX12" s="47">
        <f t="shared" si="23"/>
        <v>0</v>
      </c>
      <c r="AY12" s="23">
        <f t="shared" si="24"/>
        <v>0.20994475138121546</v>
      </c>
      <c r="AZ12" s="23">
        <f t="shared" si="25"/>
        <v>0.29003980276837166</v>
      </c>
      <c r="BA12" s="23">
        <f t="shared" si="26"/>
        <v>21.462945404859504</v>
      </c>
      <c r="BB12" s="23">
        <f t="shared" si="27"/>
        <v>53.657363512148763</v>
      </c>
      <c r="BC12" s="23">
        <f t="shared" si="28"/>
        <v>26.828681756074381</v>
      </c>
      <c r="BD12" s="23">
        <f t="shared" si="29"/>
        <v>80.486045268223137</v>
      </c>
    </row>
    <row r="13" spans="1:57" s="47" customFormat="1">
      <c r="A13" s="47" t="s">
        <v>20</v>
      </c>
      <c r="B13" s="47" t="s">
        <v>38</v>
      </c>
      <c r="C13" s="47" t="s">
        <v>22</v>
      </c>
      <c r="D13" s="47" t="s">
        <v>39</v>
      </c>
      <c r="E13" s="51" t="s">
        <v>107</v>
      </c>
      <c r="F13" s="84"/>
      <c r="G13" s="51" t="s">
        <v>109</v>
      </c>
      <c r="H13" s="47" t="s">
        <v>714</v>
      </c>
      <c r="J13" s="51" t="s">
        <v>112</v>
      </c>
      <c r="K13" s="51" t="s">
        <v>112</v>
      </c>
      <c r="L13" s="51" t="s">
        <v>112</v>
      </c>
      <c r="M13" s="47">
        <v>2171622</v>
      </c>
      <c r="N13" s="52" t="s">
        <v>715</v>
      </c>
      <c r="O13" s="55">
        <f>DATE(2017,5,19)</f>
        <v>42874</v>
      </c>
      <c r="P13" s="55">
        <f>DATE(2018,10,30)</f>
        <v>43403</v>
      </c>
      <c r="Q13" s="51">
        <v>380</v>
      </c>
      <c r="R13" s="49"/>
      <c r="S13" s="51"/>
      <c r="U13" s="47">
        <f t="shared" si="0"/>
        <v>530</v>
      </c>
      <c r="V13" s="31">
        <f t="shared" si="1"/>
        <v>0.71698113207547165</v>
      </c>
      <c r="W13" s="31">
        <f t="shared" si="2"/>
        <v>261.69811320754718</v>
      </c>
      <c r="X13" s="31">
        <f t="shared" si="3"/>
        <v>0.32712264150943399</v>
      </c>
      <c r="Y13" s="31"/>
      <c r="Z13" s="31"/>
      <c r="AA13" s="77">
        <f t="shared" si="4"/>
        <v>42552</v>
      </c>
      <c r="AB13" s="77">
        <f t="shared" si="5"/>
        <v>42735</v>
      </c>
      <c r="AC13" s="52">
        <v>0</v>
      </c>
      <c r="AD13" s="47">
        <f t="shared" si="6"/>
        <v>0</v>
      </c>
      <c r="AE13" s="47">
        <f t="shared" si="7"/>
        <v>0</v>
      </c>
      <c r="AF13" s="47">
        <f t="shared" si="8"/>
        <v>0</v>
      </c>
      <c r="AG13" s="47">
        <f t="shared" si="9"/>
        <v>0</v>
      </c>
      <c r="AH13" s="47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O13" s="23"/>
      <c r="AP13" s="23"/>
      <c r="AQ13" s="32">
        <f t="shared" si="17"/>
        <v>42736</v>
      </c>
      <c r="AR13" s="32">
        <f t="shared" si="18"/>
        <v>42916</v>
      </c>
      <c r="AS13" s="52">
        <v>30</v>
      </c>
      <c r="AT13" s="47">
        <f t="shared" si="19"/>
        <v>0</v>
      </c>
      <c r="AU13" s="47">
        <f t="shared" si="20"/>
        <v>43</v>
      </c>
      <c r="AV13" s="47">
        <f t="shared" si="21"/>
        <v>0</v>
      </c>
      <c r="AW13" s="47">
        <f t="shared" si="22"/>
        <v>0</v>
      </c>
      <c r="AX13" s="47">
        <f t="shared" si="23"/>
        <v>0</v>
      </c>
      <c r="AY13" s="23">
        <f t="shared" si="24"/>
        <v>0.23756906077348067</v>
      </c>
      <c r="AZ13" s="23">
        <f t="shared" si="25"/>
        <v>7.7714218701136248E-2</v>
      </c>
      <c r="BA13" s="23">
        <f t="shared" si="26"/>
        <v>2.3314265610340876</v>
      </c>
      <c r="BB13" s="23">
        <f t="shared" si="27"/>
        <v>0</v>
      </c>
      <c r="BC13" s="23">
        <f t="shared" si="28"/>
        <v>0</v>
      </c>
      <c r="BD13" s="23">
        <f t="shared" si="29"/>
        <v>0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E39"/>
  <sheetViews>
    <sheetView topLeftCell="I16" workbookViewId="0">
      <selection activeCell="N39" sqref="N39"/>
    </sheetView>
  </sheetViews>
  <sheetFormatPr defaultRowHeight="15"/>
  <cols>
    <col min="4" max="4" width="24.42578125" customWidth="1"/>
    <col min="5" max="5" width="19.85546875" bestFit="1" customWidth="1"/>
    <col min="6" max="6" width="19.28515625" customWidth="1"/>
    <col min="7" max="7" width="10" bestFit="1" customWidth="1"/>
    <col min="8" max="8" width="39.85546875" customWidth="1"/>
    <col min="9" max="9" width="41" bestFit="1" customWidth="1"/>
    <col min="14" max="14" width="90.28515625" customWidth="1"/>
    <col min="15" max="15" width="13" customWidth="1"/>
    <col min="16" max="16" width="12.85546875" customWidth="1"/>
    <col min="18" max="18" width="7" customWidth="1"/>
    <col min="20" max="20" width="4.42578125" customWidth="1"/>
    <col min="25" max="25" width="4.7109375" customWidth="1"/>
    <col min="27" max="28" width="10.7109375" bestFit="1" customWidth="1"/>
    <col min="41" max="41" width="6.5703125" customWidth="1"/>
    <col min="42" max="42" width="6.140625" customWidth="1"/>
    <col min="43" max="43" width="11.85546875" customWidth="1"/>
    <col min="44" max="44" width="10.42578125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87.7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60" t="s">
        <v>71</v>
      </c>
      <c r="P2" s="60" t="s">
        <v>72</v>
      </c>
      <c r="Q2" s="60" t="s">
        <v>73</v>
      </c>
      <c r="R2" s="76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44</v>
      </c>
      <c r="C3" s="47" t="s">
        <v>22</v>
      </c>
      <c r="D3" s="47" t="s">
        <v>45</v>
      </c>
      <c r="E3" s="51" t="s">
        <v>107</v>
      </c>
      <c r="F3" s="51" t="s">
        <v>114</v>
      </c>
      <c r="G3" s="51" t="s">
        <v>109</v>
      </c>
      <c r="H3" s="47" t="s">
        <v>313</v>
      </c>
      <c r="I3" s="47" t="s">
        <v>116</v>
      </c>
      <c r="J3" s="51" t="s">
        <v>112</v>
      </c>
      <c r="K3" s="51" t="s">
        <v>112</v>
      </c>
      <c r="L3" s="51" t="s">
        <v>112</v>
      </c>
      <c r="M3" s="47">
        <v>811600</v>
      </c>
      <c r="N3" s="50" t="s">
        <v>824</v>
      </c>
      <c r="O3" s="55">
        <f>DATE(2011,7,4)</f>
        <v>40728</v>
      </c>
      <c r="P3" s="55">
        <f>DATE(2015,7,3)</f>
        <v>42188</v>
      </c>
      <c r="Q3" s="51">
        <v>3200</v>
      </c>
      <c r="R3" s="49"/>
      <c r="S3" s="51">
        <v>2.5</v>
      </c>
      <c r="U3" s="47">
        <f t="shared" ref="U3:U39" si="0">P3-O3+1</f>
        <v>1461</v>
      </c>
      <c r="V3" s="31">
        <f t="shared" ref="V3:V39" si="1">Q3/U3</f>
        <v>2.1902806297056809</v>
      </c>
      <c r="W3" s="31">
        <f t="shared" ref="W3:W39" si="2">IF(U3&gt;365,V3*365,Q3)</f>
        <v>799.45242984257357</v>
      </c>
      <c r="X3" s="31">
        <f t="shared" ref="X3:X39" si="3">IF(U3&gt;365,W3/800,Q3/800)</f>
        <v>0.99931553730321698</v>
      </c>
      <c r="Y3" s="31"/>
      <c r="Z3" s="31"/>
      <c r="AA3" s="77">
        <f t="shared" ref="AA3:AA39" si="4">DATE(2016,7,1)</f>
        <v>42552</v>
      </c>
      <c r="AB3" s="77">
        <f t="shared" ref="AB3:AB39" si="5">DATE(2016,12,31)</f>
        <v>42735</v>
      </c>
      <c r="AC3" s="50">
        <v>46</v>
      </c>
      <c r="AD3" s="47">
        <f t="shared" ref="AD3:AD39" si="6">IF(AND(O3&lt;AA3,P3&gt;AB3),AB3-AA3+1,0)</f>
        <v>0</v>
      </c>
      <c r="AE3" s="47">
        <f t="shared" ref="AE3:AE39" si="7">IF(AND(O3&gt;=AA3,P3&gt;AB3,O3&lt;AB3),AB3-O3+1,0)</f>
        <v>0</v>
      </c>
      <c r="AF3" s="47">
        <f t="shared" ref="AF3:AF39" si="8">IF(AND(O3&lt;AA3,P3&lt;=AB3,P3&gt;=AA3),P3-AA3+1,0)</f>
        <v>0</v>
      </c>
      <c r="AG3" s="47">
        <f t="shared" ref="AG3:AG39" si="9">IF(AND(O3&gt;=AA3,P3&lt;=AB3),P3-O3+1,0)</f>
        <v>0</v>
      </c>
      <c r="AH3" s="47">
        <f t="shared" ref="AH3:AH39" si="10">IF(AND(O3&lt;AA3,P3&lt;AA3),(AB3-AA3+1)/2,0)</f>
        <v>92</v>
      </c>
      <c r="AI3" s="23">
        <f t="shared" ref="AI3:AI39" si="11">SUM(AD3:AH3)/(AB3-AA3+1)</f>
        <v>0.5</v>
      </c>
      <c r="AJ3" s="23">
        <f t="shared" ref="AJ3:AJ39" si="12">X3*AI3</f>
        <v>0.49965776865160849</v>
      </c>
      <c r="AK3" s="23">
        <f t="shared" ref="AK3:AK39" si="13">IF(AH3=0,AJ3*AC3,IF(AA3-P3&gt;1095,0,AJ3*(AC3/2)))</f>
        <v>11.492128678986996</v>
      </c>
      <c r="AL3" s="23">
        <f t="shared" ref="AL3:AL39" si="14">AK3*S3</f>
        <v>28.730321697467488</v>
      </c>
      <c r="AM3" s="23">
        <f t="shared" ref="AM3:AM39" si="15">IF(J3="SIM",AL3*50%,0)</f>
        <v>0</v>
      </c>
      <c r="AN3" s="23">
        <f t="shared" ref="AN3:AN39" si="16">AL3+AM3</f>
        <v>28.730321697467488</v>
      </c>
      <c r="AO3" s="23"/>
      <c r="AP3" s="23"/>
      <c r="AQ3" s="32">
        <f t="shared" ref="AQ3:AQ39" si="17">DATE(2017,1,1)</f>
        <v>42736</v>
      </c>
      <c r="AR3" s="32">
        <f t="shared" ref="AR3:AR39" si="18">DATE(2017,6,30)</f>
        <v>42916</v>
      </c>
      <c r="AS3" s="50">
        <v>46</v>
      </c>
      <c r="AT3" s="47">
        <f t="shared" ref="AT3:AT39" si="19">IF(AND(O3&lt;AQ3,P3&gt;AR3),AR3-AQ3+1,0)</f>
        <v>0</v>
      </c>
      <c r="AU3" s="47">
        <f t="shared" ref="AU3:AU39" si="20">IF(AND(O3&gt;=AQ3,P3&gt;AR3,O3&lt;AR3),AR3-O3+1,0)</f>
        <v>0</v>
      </c>
      <c r="AV3" s="47">
        <f t="shared" ref="AV3:AV39" si="21">IF(AND(O3&lt;AQ3,P3&lt;=AR3,P3&gt;=AQ3),P3-AQ3+1,0)</f>
        <v>0</v>
      </c>
      <c r="AW3" s="47">
        <f t="shared" ref="AW3:AW39" si="22">IF(AND(O3&gt;=AQ3,P3&lt;=AR3),P3-O3+1,0)</f>
        <v>0</v>
      </c>
      <c r="AX3" s="47">
        <f t="shared" ref="AX3:AX39" si="23">IF(AND(O3&lt;AQ3,P3&lt;AQ3),(AR3-AQ3+1)/2,0)</f>
        <v>90.5</v>
      </c>
      <c r="AY3" s="23">
        <f t="shared" ref="AY3:AY39" si="24">SUM(AT3:AX3)/(AR3-AQ3+1)</f>
        <v>0.5</v>
      </c>
      <c r="AZ3" s="23">
        <f t="shared" ref="AZ3:AZ39" si="25">X3*AY3</f>
        <v>0.49965776865160849</v>
      </c>
      <c r="BA3" s="23">
        <f t="shared" ref="BA3:BA39" si="26">IF(AX3=0,AZ3*AS3,IF(AQ3-P3&gt;1095,0,AZ3*(AS3/2)))</f>
        <v>11.492128678986996</v>
      </c>
      <c r="BB3" s="23">
        <f t="shared" ref="BB3:BB39" si="27">BA3*S3</f>
        <v>28.730321697467488</v>
      </c>
      <c r="BC3" s="23">
        <f t="shared" ref="BC3:BC39" si="28">IF(J3="SIM",BB3*50%,0)</f>
        <v>0</v>
      </c>
      <c r="BD3" s="23">
        <f t="shared" ref="BD3:BD39" si="29">BB3+BC3</f>
        <v>28.730321697467488</v>
      </c>
    </row>
    <row r="4" spans="1:57" s="47" customFormat="1">
      <c r="A4" s="47" t="s">
        <v>20</v>
      </c>
      <c r="B4" s="47" t="s">
        <v>44</v>
      </c>
      <c r="C4" s="47" t="s">
        <v>22</v>
      </c>
      <c r="D4" s="47" t="s">
        <v>45</v>
      </c>
      <c r="E4" s="51" t="s">
        <v>107</v>
      </c>
      <c r="F4" s="51" t="s">
        <v>114</v>
      </c>
      <c r="G4" s="51" t="s">
        <v>109</v>
      </c>
      <c r="H4" s="47" t="s">
        <v>825</v>
      </c>
      <c r="I4" s="47" t="s">
        <v>111</v>
      </c>
      <c r="J4" s="51" t="s">
        <v>112</v>
      </c>
      <c r="K4" s="51" t="s">
        <v>112</v>
      </c>
      <c r="L4" s="51" t="s">
        <v>112</v>
      </c>
      <c r="M4" s="47">
        <v>1025645</v>
      </c>
      <c r="N4" s="50" t="s">
        <v>826</v>
      </c>
      <c r="O4" s="55">
        <f>DATE(2011,7,4)</f>
        <v>40728</v>
      </c>
      <c r="P4" s="55">
        <f>DATE(2014,7,31)</f>
        <v>41851</v>
      </c>
      <c r="Q4" s="51">
        <v>3200</v>
      </c>
      <c r="R4" s="49"/>
      <c r="S4" s="51">
        <v>2.5</v>
      </c>
      <c r="U4" s="47">
        <f t="shared" si="0"/>
        <v>1124</v>
      </c>
      <c r="V4" s="31">
        <f t="shared" si="1"/>
        <v>2.8469750889679717</v>
      </c>
      <c r="W4" s="31">
        <f t="shared" si="2"/>
        <v>1039.1459074733098</v>
      </c>
      <c r="X4" s="31">
        <f t="shared" si="3"/>
        <v>1.2989323843416372</v>
      </c>
      <c r="Y4" s="31"/>
      <c r="Z4" s="31"/>
      <c r="AA4" s="77">
        <f t="shared" si="4"/>
        <v>42552</v>
      </c>
      <c r="AB4" s="77">
        <f t="shared" si="5"/>
        <v>42735</v>
      </c>
      <c r="AC4" s="50">
        <v>23</v>
      </c>
      <c r="AD4" s="47">
        <f t="shared" si="6"/>
        <v>0</v>
      </c>
      <c r="AE4" s="47">
        <f t="shared" si="7"/>
        <v>0</v>
      </c>
      <c r="AF4" s="47">
        <f t="shared" si="8"/>
        <v>0</v>
      </c>
      <c r="AG4" s="47">
        <f t="shared" si="9"/>
        <v>0</v>
      </c>
      <c r="AH4" s="47">
        <f t="shared" si="10"/>
        <v>92</v>
      </c>
      <c r="AI4" s="23">
        <f t="shared" si="11"/>
        <v>0.5</v>
      </c>
      <c r="AJ4" s="23">
        <f t="shared" si="12"/>
        <v>0.64946619217081858</v>
      </c>
      <c r="AK4" s="23">
        <f t="shared" si="13"/>
        <v>7.4688612099644134</v>
      </c>
      <c r="AL4" s="23">
        <f t="shared" si="14"/>
        <v>18.672153024911033</v>
      </c>
      <c r="AM4" s="23">
        <f t="shared" si="15"/>
        <v>0</v>
      </c>
      <c r="AN4" s="23">
        <f t="shared" si="16"/>
        <v>18.672153024911033</v>
      </c>
      <c r="AO4" s="23"/>
      <c r="AP4" s="23"/>
      <c r="AQ4" s="32">
        <f t="shared" si="17"/>
        <v>42736</v>
      </c>
      <c r="AR4" s="32">
        <f t="shared" si="18"/>
        <v>42916</v>
      </c>
      <c r="AS4" s="50">
        <v>23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0.64946619217081858</v>
      </c>
      <c r="BA4" s="23">
        <f t="shared" si="26"/>
        <v>7.4688612099644134</v>
      </c>
      <c r="BB4" s="23">
        <f t="shared" si="27"/>
        <v>18.672153024911033</v>
      </c>
      <c r="BC4" s="23">
        <f t="shared" si="28"/>
        <v>0</v>
      </c>
      <c r="BD4" s="23">
        <f t="shared" si="29"/>
        <v>18.672153024911033</v>
      </c>
    </row>
    <row r="5" spans="1:57" s="47" customFormat="1">
      <c r="A5" s="47" t="s">
        <v>20</v>
      </c>
      <c r="B5" s="47" t="s">
        <v>44</v>
      </c>
      <c r="C5" s="47" t="s">
        <v>22</v>
      </c>
      <c r="D5" s="47" t="s">
        <v>45</v>
      </c>
      <c r="E5" s="51" t="s">
        <v>107</v>
      </c>
      <c r="F5" s="51" t="s">
        <v>294</v>
      </c>
      <c r="G5" s="51" t="s">
        <v>109</v>
      </c>
      <c r="H5" s="47" t="s">
        <v>297</v>
      </c>
      <c r="I5" s="47" t="s">
        <v>147</v>
      </c>
      <c r="J5" s="51" t="s">
        <v>112</v>
      </c>
      <c r="K5" s="51" t="s">
        <v>112</v>
      </c>
      <c r="L5" s="51" t="s">
        <v>112</v>
      </c>
      <c r="M5" s="47">
        <v>1339133</v>
      </c>
      <c r="N5" s="56" t="s">
        <v>827</v>
      </c>
      <c r="O5" s="55">
        <f>DATE(2011,2,21)</f>
        <v>40595</v>
      </c>
      <c r="P5" s="55">
        <f>DATE(2013,12,31)</f>
        <v>41639</v>
      </c>
      <c r="Q5" s="51">
        <v>2890</v>
      </c>
      <c r="R5" s="49"/>
      <c r="S5" s="51">
        <v>2</v>
      </c>
      <c r="U5" s="47">
        <f t="shared" si="0"/>
        <v>1045</v>
      </c>
      <c r="V5" s="31">
        <f t="shared" si="1"/>
        <v>2.7655502392344498</v>
      </c>
      <c r="W5" s="31">
        <f t="shared" si="2"/>
        <v>1009.4258373205741</v>
      </c>
      <c r="X5" s="31">
        <f t="shared" si="3"/>
        <v>1.2617822966507177</v>
      </c>
      <c r="Y5" s="31"/>
      <c r="Z5" s="31"/>
      <c r="AA5" s="77">
        <f t="shared" si="4"/>
        <v>42552</v>
      </c>
      <c r="AB5" s="77">
        <f t="shared" si="5"/>
        <v>42735</v>
      </c>
      <c r="AC5" s="50">
        <v>43</v>
      </c>
      <c r="AD5" s="47">
        <f t="shared" si="6"/>
        <v>0</v>
      </c>
      <c r="AE5" s="47">
        <f t="shared" si="7"/>
        <v>0</v>
      </c>
      <c r="AF5" s="47">
        <f t="shared" si="8"/>
        <v>0</v>
      </c>
      <c r="AG5" s="47">
        <f t="shared" si="9"/>
        <v>0</v>
      </c>
      <c r="AH5" s="47">
        <f t="shared" si="10"/>
        <v>92</v>
      </c>
      <c r="AI5" s="23">
        <f t="shared" si="11"/>
        <v>0.5</v>
      </c>
      <c r="AJ5" s="23">
        <f t="shared" si="12"/>
        <v>0.63089114832535886</v>
      </c>
      <c r="AK5" s="23">
        <f t="shared" si="13"/>
        <v>13.564159688995215</v>
      </c>
      <c r="AL5" s="23">
        <f t="shared" si="14"/>
        <v>27.128319377990429</v>
      </c>
      <c r="AM5" s="23">
        <f t="shared" si="15"/>
        <v>0</v>
      </c>
      <c r="AN5" s="23">
        <f t="shared" si="16"/>
        <v>27.128319377990429</v>
      </c>
      <c r="AO5" s="23"/>
      <c r="AP5" s="23"/>
      <c r="AQ5" s="32">
        <f t="shared" si="17"/>
        <v>42736</v>
      </c>
      <c r="AR5" s="32">
        <f t="shared" si="18"/>
        <v>42916</v>
      </c>
      <c r="AS5" s="56">
        <v>0</v>
      </c>
      <c r="AT5" s="47">
        <f t="shared" si="19"/>
        <v>0</v>
      </c>
      <c r="AU5" s="47">
        <f t="shared" si="20"/>
        <v>0</v>
      </c>
      <c r="AV5" s="47">
        <f t="shared" si="21"/>
        <v>0</v>
      </c>
      <c r="AW5" s="47">
        <f t="shared" si="22"/>
        <v>0</v>
      </c>
      <c r="AX5" s="47">
        <f t="shared" si="23"/>
        <v>90.5</v>
      </c>
      <c r="AY5" s="23">
        <f t="shared" si="24"/>
        <v>0.5</v>
      </c>
      <c r="AZ5" s="23">
        <f t="shared" si="25"/>
        <v>0.63089114832535886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 s="47" customFormat="1">
      <c r="A6" s="47" t="s">
        <v>20</v>
      </c>
      <c r="B6" s="47" t="s">
        <v>44</v>
      </c>
      <c r="C6" s="47" t="s">
        <v>22</v>
      </c>
      <c r="D6" s="47" t="s">
        <v>45</v>
      </c>
      <c r="E6" s="51" t="s">
        <v>154</v>
      </c>
      <c r="F6" s="51" t="s">
        <v>108</v>
      </c>
      <c r="G6" s="51" t="s">
        <v>109</v>
      </c>
      <c r="H6" s="47" t="s">
        <v>175</v>
      </c>
      <c r="I6" s="47" t="s">
        <v>147</v>
      </c>
      <c r="J6" s="51" t="s">
        <v>148</v>
      </c>
      <c r="K6" s="51" t="s">
        <v>112</v>
      </c>
      <c r="L6" s="51" t="s">
        <v>148</v>
      </c>
      <c r="M6" s="47">
        <v>1339253</v>
      </c>
      <c r="N6" s="56" t="s">
        <v>828</v>
      </c>
      <c r="O6" s="55">
        <f>DATE(2011,12,17)</f>
        <v>40894</v>
      </c>
      <c r="P6" s="55">
        <f>DATE(2013,10,31)</f>
        <v>41578</v>
      </c>
      <c r="Q6" s="51">
        <v>1200</v>
      </c>
      <c r="R6" s="49"/>
      <c r="S6" s="51">
        <v>2.5</v>
      </c>
      <c r="U6" s="47">
        <f t="shared" si="0"/>
        <v>685</v>
      </c>
      <c r="V6" s="31">
        <f t="shared" si="1"/>
        <v>1.7518248175182483</v>
      </c>
      <c r="W6" s="31">
        <f t="shared" si="2"/>
        <v>639.41605839416059</v>
      </c>
      <c r="X6" s="31">
        <f t="shared" si="3"/>
        <v>0.7992700729927007</v>
      </c>
      <c r="Y6" s="31"/>
      <c r="Z6" s="31"/>
      <c r="AA6" s="77">
        <f t="shared" si="4"/>
        <v>42552</v>
      </c>
      <c r="AB6" s="77">
        <f t="shared" si="5"/>
        <v>42735</v>
      </c>
      <c r="AC6" s="50">
        <v>32</v>
      </c>
      <c r="AD6" s="47">
        <f t="shared" si="6"/>
        <v>0</v>
      </c>
      <c r="AE6" s="47">
        <f t="shared" si="7"/>
        <v>0</v>
      </c>
      <c r="AF6" s="47">
        <f t="shared" si="8"/>
        <v>0</v>
      </c>
      <c r="AG6" s="47">
        <f t="shared" si="9"/>
        <v>0</v>
      </c>
      <c r="AH6" s="47">
        <f t="shared" si="10"/>
        <v>92</v>
      </c>
      <c r="AI6" s="23">
        <f t="shared" si="11"/>
        <v>0.5</v>
      </c>
      <c r="AJ6" s="23">
        <f t="shared" si="12"/>
        <v>0.39963503649635035</v>
      </c>
      <c r="AK6" s="23">
        <f t="shared" si="13"/>
        <v>6.3941605839416056</v>
      </c>
      <c r="AL6" s="23">
        <f t="shared" si="14"/>
        <v>15.985401459854014</v>
      </c>
      <c r="AM6" s="23">
        <f t="shared" si="15"/>
        <v>7.992700729927007</v>
      </c>
      <c r="AN6" s="23">
        <f t="shared" si="16"/>
        <v>23.978102189781019</v>
      </c>
      <c r="AO6" s="23"/>
      <c r="AP6" s="23"/>
      <c r="AQ6" s="32">
        <f t="shared" si="17"/>
        <v>42736</v>
      </c>
      <c r="AR6" s="32">
        <f t="shared" si="18"/>
        <v>42916</v>
      </c>
      <c r="AS6" s="56">
        <v>0</v>
      </c>
      <c r="AT6" s="47">
        <f t="shared" si="19"/>
        <v>0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90.5</v>
      </c>
      <c r="AY6" s="23">
        <f t="shared" si="24"/>
        <v>0.5</v>
      </c>
      <c r="AZ6" s="23">
        <f t="shared" si="25"/>
        <v>0.39963503649635035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 s="47" customFormat="1">
      <c r="A7" s="47" t="s">
        <v>20</v>
      </c>
      <c r="B7" s="47" t="s">
        <v>44</v>
      </c>
      <c r="C7" s="47" t="s">
        <v>22</v>
      </c>
      <c r="D7" s="47" t="s">
        <v>45</v>
      </c>
      <c r="E7" s="51" t="s">
        <v>154</v>
      </c>
      <c r="F7" s="51" t="s">
        <v>108</v>
      </c>
      <c r="G7" s="51" t="s">
        <v>109</v>
      </c>
      <c r="H7" s="47" t="s">
        <v>110</v>
      </c>
      <c r="I7" s="47" t="s">
        <v>111</v>
      </c>
      <c r="J7" s="51" t="s">
        <v>112</v>
      </c>
      <c r="K7" s="51" t="s">
        <v>112</v>
      </c>
      <c r="L7" s="51" t="s">
        <v>148</v>
      </c>
      <c r="M7" s="47">
        <v>1339261</v>
      </c>
      <c r="N7" s="56" t="s">
        <v>829</v>
      </c>
      <c r="O7" s="55">
        <f>DATE(2011,12,17)</f>
        <v>40894</v>
      </c>
      <c r="P7" s="55">
        <f>DATE(2013,10,31)</f>
        <v>41578</v>
      </c>
      <c r="Q7" s="51">
        <v>1200</v>
      </c>
      <c r="R7" s="49"/>
      <c r="S7" s="51">
        <v>2</v>
      </c>
      <c r="U7" s="47">
        <f t="shared" si="0"/>
        <v>685</v>
      </c>
      <c r="V7" s="31">
        <f t="shared" si="1"/>
        <v>1.7518248175182483</v>
      </c>
      <c r="W7" s="31">
        <f t="shared" si="2"/>
        <v>639.41605839416059</v>
      </c>
      <c r="X7" s="31">
        <f t="shared" si="3"/>
        <v>0.7992700729927007</v>
      </c>
      <c r="Y7" s="31"/>
      <c r="Z7" s="31"/>
      <c r="AA7" s="77">
        <f t="shared" si="4"/>
        <v>42552</v>
      </c>
      <c r="AB7" s="77">
        <f t="shared" si="5"/>
        <v>42735</v>
      </c>
      <c r="AC7" s="50">
        <v>40</v>
      </c>
      <c r="AD7" s="47">
        <f t="shared" si="6"/>
        <v>0</v>
      </c>
      <c r="AE7" s="47">
        <f t="shared" si="7"/>
        <v>0</v>
      </c>
      <c r="AF7" s="47">
        <f t="shared" si="8"/>
        <v>0</v>
      </c>
      <c r="AG7" s="47">
        <f t="shared" si="9"/>
        <v>0</v>
      </c>
      <c r="AH7" s="47">
        <f t="shared" si="10"/>
        <v>92</v>
      </c>
      <c r="AI7" s="23">
        <f t="shared" si="11"/>
        <v>0.5</v>
      </c>
      <c r="AJ7" s="23">
        <f t="shared" si="12"/>
        <v>0.39963503649635035</v>
      </c>
      <c r="AK7" s="23">
        <f t="shared" si="13"/>
        <v>7.992700729927007</v>
      </c>
      <c r="AL7" s="23">
        <f t="shared" si="14"/>
        <v>15.985401459854014</v>
      </c>
      <c r="AM7" s="23">
        <f t="shared" si="15"/>
        <v>0</v>
      </c>
      <c r="AN7" s="23">
        <f t="shared" si="16"/>
        <v>15.985401459854014</v>
      </c>
      <c r="AO7" s="23"/>
      <c r="AP7" s="23"/>
      <c r="AQ7" s="32">
        <f t="shared" si="17"/>
        <v>42736</v>
      </c>
      <c r="AR7" s="32">
        <f t="shared" si="18"/>
        <v>42916</v>
      </c>
      <c r="AS7" s="56">
        <v>0</v>
      </c>
      <c r="AT7" s="47">
        <f t="shared" si="19"/>
        <v>0</v>
      </c>
      <c r="AU7" s="47">
        <f t="shared" si="20"/>
        <v>0</v>
      </c>
      <c r="AV7" s="47">
        <f t="shared" si="21"/>
        <v>0</v>
      </c>
      <c r="AW7" s="47">
        <f t="shared" si="22"/>
        <v>0</v>
      </c>
      <c r="AX7" s="47">
        <f t="shared" si="23"/>
        <v>90.5</v>
      </c>
      <c r="AY7" s="23">
        <f t="shared" si="24"/>
        <v>0.5</v>
      </c>
      <c r="AZ7" s="23">
        <f t="shared" si="25"/>
        <v>0.39963503649635035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 s="47" customFormat="1">
      <c r="A8" s="47" t="s">
        <v>20</v>
      </c>
      <c r="B8" s="47" t="s">
        <v>44</v>
      </c>
      <c r="C8" s="47" t="s">
        <v>22</v>
      </c>
      <c r="D8" s="47" t="s">
        <v>45</v>
      </c>
      <c r="E8" s="51" t="s">
        <v>154</v>
      </c>
      <c r="F8" s="51" t="s">
        <v>108</v>
      </c>
      <c r="G8" s="51" t="s">
        <v>109</v>
      </c>
      <c r="H8" s="47" t="s">
        <v>213</v>
      </c>
      <c r="I8" s="47" t="s">
        <v>214</v>
      </c>
      <c r="J8" s="51" t="s">
        <v>112</v>
      </c>
      <c r="K8" s="51" t="s">
        <v>112</v>
      </c>
      <c r="L8" s="51" t="s">
        <v>148</v>
      </c>
      <c r="M8" s="47">
        <v>1339278</v>
      </c>
      <c r="N8" s="56" t="s">
        <v>830</v>
      </c>
      <c r="O8" s="55">
        <f>DATE(2011,12,17)</f>
        <v>40894</v>
      </c>
      <c r="P8" s="55">
        <f>DATE(2013,10,31)</f>
        <v>41578</v>
      </c>
      <c r="Q8" s="51">
        <v>1200</v>
      </c>
      <c r="R8" s="49"/>
      <c r="S8" s="51">
        <v>1.5</v>
      </c>
      <c r="U8" s="47">
        <f t="shared" si="0"/>
        <v>685</v>
      </c>
      <c r="V8" s="31">
        <f t="shared" si="1"/>
        <v>1.7518248175182483</v>
      </c>
      <c r="W8" s="31">
        <f t="shared" si="2"/>
        <v>639.41605839416059</v>
      </c>
      <c r="X8" s="31">
        <f t="shared" si="3"/>
        <v>0.7992700729927007</v>
      </c>
      <c r="Y8" s="31"/>
      <c r="Z8" s="31"/>
      <c r="AA8" s="77">
        <f t="shared" si="4"/>
        <v>42552</v>
      </c>
      <c r="AB8" s="77">
        <f t="shared" si="5"/>
        <v>42735</v>
      </c>
      <c r="AC8" s="50">
        <v>34</v>
      </c>
      <c r="AD8" s="47">
        <f t="shared" si="6"/>
        <v>0</v>
      </c>
      <c r="AE8" s="47">
        <f t="shared" si="7"/>
        <v>0</v>
      </c>
      <c r="AF8" s="47">
        <f t="shared" si="8"/>
        <v>0</v>
      </c>
      <c r="AG8" s="47">
        <f t="shared" si="9"/>
        <v>0</v>
      </c>
      <c r="AH8" s="47">
        <f t="shared" si="10"/>
        <v>92</v>
      </c>
      <c r="AI8" s="23">
        <f t="shared" si="11"/>
        <v>0.5</v>
      </c>
      <c r="AJ8" s="23">
        <f t="shared" si="12"/>
        <v>0.39963503649635035</v>
      </c>
      <c r="AK8" s="23">
        <f t="shared" si="13"/>
        <v>6.7937956204379564</v>
      </c>
      <c r="AL8" s="23">
        <f t="shared" si="14"/>
        <v>10.190693430656935</v>
      </c>
      <c r="AM8" s="23">
        <f t="shared" si="15"/>
        <v>0</v>
      </c>
      <c r="AN8" s="23">
        <f t="shared" si="16"/>
        <v>10.190693430656935</v>
      </c>
      <c r="AO8" s="23"/>
      <c r="AP8" s="23"/>
      <c r="AQ8" s="32">
        <f t="shared" si="17"/>
        <v>42736</v>
      </c>
      <c r="AR8" s="32">
        <f t="shared" si="18"/>
        <v>42916</v>
      </c>
      <c r="AS8" s="56">
        <v>0</v>
      </c>
      <c r="AT8" s="47">
        <f t="shared" si="19"/>
        <v>0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90.5</v>
      </c>
      <c r="AY8" s="23">
        <f t="shared" si="24"/>
        <v>0.5</v>
      </c>
      <c r="AZ8" s="23">
        <f t="shared" si="25"/>
        <v>0.39963503649635035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 s="47" customFormat="1">
      <c r="A9" s="47" t="s">
        <v>20</v>
      </c>
      <c r="B9" s="47" t="s">
        <v>44</v>
      </c>
      <c r="C9" s="47" t="s">
        <v>22</v>
      </c>
      <c r="D9" s="47" t="s">
        <v>45</v>
      </c>
      <c r="E9" s="51" t="s">
        <v>154</v>
      </c>
      <c r="F9" s="51" t="s">
        <v>108</v>
      </c>
      <c r="G9" s="51" t="s">
        <v>109</v>
      </c>
      <c r="H9" s="47" t="s">
        <v>146</v>
      </c>
      <c r="I9" s="47" t="s">
        <v>147</v>
      </c>
      <c r="J9" s="51" t="s">
        <v>148</v>
      </c>
      <c r="K9" s="51" t="s">
        <v>112</v>
      </c>
      <c r="L9" s="51" t="s">
        <v>148</v>
      </c>
      <c r="M9" s="47">
        <v>1339282</v>
      </c>
      <c r="N9" s="56" t="s">
        <v>831</v>
      </c>
      <c r="O9" s="55">
        <f>DATE(2011,12,17)</f>
        <v>40894</v>
      </c>
      <c r="P9" s="55">
        <f>DATE(2013,10,31)</f>
        <v>41578</v>
      </c>
      <c r="Q9" s="51">
        <v>1200</v>
      </c>
      <c r="R9" s="49"/>
      <c r="S9" s="51">
        <v>2.5</v>
      </c>
      <c r="U9" s="47">
        <f t="shared" si="0"/>
        <v>685</v>
      </c>
      <c r="V9" s="31">
        <f t="shared" si="1"/>
        <v>1.7518248175182483</v>
      </c>
      <c r="W9" s="31">
        <f t="shared" si="2"/>
        <v>639.41605839416059</v>
      </c>
      <c r="X9" s="31">
        <f t="shared" si="3"/>
        <v>0.7992700729927007</v>
      </c>
      <c r="Y9" s="31"/>
      <c r="Z9" s="31"/>
      <c r="AA9" s="77">
        <f t="shared" si="4"/>
        <v>42552</v>
      </c>
      <c r="AB9" s="77">
        <f t="shared" si="5"/>
        <v>42735</v>
      </c>
      <c r="AC9" s="50">
        <v>31</v>
      </c>
      <c r="AD9" s="47">
        <f t="shared" si="6"/>
        <v>0</v>
      </c>
      <c r="AE9" s="47">
        <f t="shared" si="7"/>
        <v>0</v>
      </c>
      <c r="AF9" s="47">
        <f t="shared" si="8"/>
        <v>0</v>
      </c>
      <c r="AG9" s="47">
        <f t="shared" si="9"/>
        <v>0</v>
      </c>
      <c r="AH9" s="47">
        <f t="shared" si="10"/>
        <v>92</v>
      </c>
      <c r="AI9" s="23">
        <f t="shared" si="11"/>
        <v>0.5</v>
      </c>
      <c r="AJ9" s="23">
        <f t="shared" si="12"/>
        <v>0.39963503649635035</v>
      </c>
      <c r="AK9" s="23">
        <f t="shared" si="13"/>
        <v>6.1943430656934302</v>
      </c>
      <c r="AL9" s="23">
        <f t="shared" si="14"/>
        <v>15.485857664233576</v>
      </c>
      <c r="AM9" s="23">
        <f t="shared" si="15"/>
        <v>7.742928832116788</v>
      </c>
      <c r="AN9" s="23">
        <f t="shared" si="16"/>
        <v>23.228786496350363</v>
      </c>
      <c r="AO9" s="23"/>
      <c r="AP9" s="23"/>
      <c r="AQ9" s="32">
        <f t="shared" si="17"/>
        <v>42736</v>
      </c>
      <c r="AR9" s="32">
        <f t="shared" si="18"/>
        <v>42916</v>
      </c>
      <c r="AS9" s="56">
        <v>0</v>
      </c>
      <c r="AT9" s="47">
        <f t="shared" si="19"/>
        <v>0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90.5</v>
      </c>
      <c r="AY9" s="23">
        <f t="shared" si="24"/>
        <v>0.5</v>
      </c>
      <c r="AZ9" s="23">
        <f t="shared" si="25"/>
        <v>0.39963503649635035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 s="47" customFormat="1">
      <c r="A10" s="47" t="s">
        <v>20</v>
      </c>
      <c r="B10" s="47" t="s">
        <v>44</v>
      </c>
      <c r="C10" s="47" t="s">
        <v>22</v>
      </c>
      <c r="D10" s="47" t="s">
        <v>45</v>
      </c>
      <c r="E10" s="51" t="s">
        <v>154</v>
      </c>
      <c r="F10" s="51" t="s">
        <v>108</v>
      </c>
      <c r="G10" s="51" t="s">
        <v>109</v>
      </c>
      <c r="H10" s="47" t="s">
        <v>179</v>
      </c>
      <c r="I10" s="47" t="s">
        <v>125</v>
      </c>
      <c r="J10" s="51" t="s">
        <v>112</v>
      </c>
      <c r="K10" s="51" t="s">
        <v>112</v>
      </c>
      <c r="L10" s="51" t="s">
        <v>148</v>
      </c>
      <c r="M10" s="47">
        <v>1339331</v>
      </c>
      <c r="N10" s="56" t="s">
        <v>832</v>
      </c>
      <c r="O10" s="55">
        <f>DATE(2011,12,17)</f>
        <v>40894</v>
      </c>
      <c r="P10" s="55">
        <f>DATE(2013,10,31)</f>
        <v>41578</v>
      </c>
      <c r="Q10" s="51">
        <v>1200</v>
      </c>
      <c r="R10" s="49"/>
      <c r="S10" s="51">
        <v>2</v>
      </c>
      <c r="U10" s="47">
        <f t="shared" si="0"/>
        <v>685</v>
      </c>
      <c r="V10" s="31">
        <f t="shared" si="1"/>
        <v>1.7518248175182483</v>
      </c>
      <c r="W10" s="31">
        <f t="shared" si="2"/>
        <v>639.41605839416059</v>
      </c>
      <c r="X10" s="31">
        <f t="shared" si="3"/>
        <v>0.7992700729927007</v>
      </c>
      <c r="Y10" s="31"/>
      <c r="Z10" s="31"/>
      <c r="AA10" s="77">
        <f t="shared" si="4"/>
        <v>42552</v>
      </c>
      <c r="AB10" s="77">
        <f t="shared" si="5"/>
        <v>42735</v>
      </c>
      <c r="AC10" s="50">
        <v>37</v>
      </c>
      <c r="AD10" s="47">
        <f t="shared" si="6"/>
        <v>0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92</v>
      </c>
      <c r="AI10" s="23">
        <f t="shared" si="11"/>
        <v>0.5</v>
      </c>
      <c r="AJ10" s="23">
        <f t="shared" si="12"/>
        <v>0.39963503649635035</v>
      </c>
      <c r="AK10" s="23">
        <f t="shared" si="13"/>
        <v>7.3932481751824817</v>
      </c>
      <c r="AL10" s="23">
        <f t="shared" si="14"/>
        <v>14.786496350364963</v>
      </c>
      <c r="AM10" s="23">
        <f t="shared" si="15"/>
        <v>0</v>
      </c>
      <c r="AN10" s="23">
        <f t="shared" si="16"/>
        <v>14.786496350364963</v>
      </c>
      <c r="AO10" s="23"/>
      <c r="AP10" s="23"/>
      <c r="AQ10" s="32">
        <f t="shared" si="17"/>
        <v>42736</v>
      </c>
      <c r="AR10" s="32">
        <f t="shared" si="18"/>
        <v>42916</v>
      </c>
      <c r="AS10" s="56">
        <v>0</v>
      </c>
      <c r="AT10" s="47">
        <f t="shared" si="19"/>
        <v>0</v>
      </c>
      <c r="AU10" s="47">
        <f t="shared" si="20"/>
        <v>0</v>
      </c>
      <c r="AV10" s="47">
        <f t="shared" si="21"/>
        <v>0</v>
      </c>
      <c r="AW10" s="47">
        <f t="shared" si="22"/>
        <v>0</v>
      </c>
      <c r="AX10" s="47">
        <f t="shared" si="23"/>
        <v>90.5</v>
      </c>
      <c r="AY10" s="23">
        <f t="shared" si="24"/>
        <v>0.5</v>
      </c>
      <c r="AZ10" s="23">
        <f t="shared" si="25"/>
        <v>0.39963503649635035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 s="47" customFormat="1">
      <c r="A11" s="74" t="s">
        <v>20</v>
      </c>
      <c r="B11" s="47" t="s">
        <v>44</v>
      </c>
      <c r="C11" s="47" t="s">
        <v>22</v>
      </c>
      <c r="D11" s="47" t="s">
        <v>45</v>
      </c>
      <c r="E11" s="51" t="s">
        <v>107</v>
      </c>
      <c r="F11" s="51" t="s">
        <v>294</v>
      </c>
      <c r="G11" s="51" t="s">
        <v>109</v>
      </c>
      <c r="H11" s="47" t="s">
        <v>301</v>
      </c>
      <c r="I11" s="47" t="s">
        <v>111</v>
      </c>
      <c r="J11" s="51" t="s">
        <v>112</v>
      </c>
      <c r="K11" s="51" t="s">
        <v>112</v>
      </c>
      <c r="L11" s="51" t="s">
        <v>112</v>
      </c>
      <c r="M11" s="47">
        <v>1343810</v>
      </c>
      <c r="N11" s="56" t="s">
        <v>833</v>
      </c>
      <c r="O11" s="55">
        <f>DATE(2011,2,21)</f>
        <v>40595</v>
      </c>
      <c r="P11" s="55">
        <f>DATE(2013,12,31)</f>
        <v>41639</v>
      </c>
      <c r="Q11" s="51">
        <v>2740</v>
      </c>
      <c r="R11" s="49"/>
      <c r="S11" s="51">
        <v>2</v>
      </c>
      <c r="U11" s="47">
        <f t="shared" si="0"/>
        <v>1045</v>
      </c>
      <c r="V11" s="31">
        <f t="shared" si="1"/>
        <v>2.6220095693779903</v>
      </c>
      <c r="W11" s="31">
        <f t="shared" si="2"/>
        <v>957.03349282296642</v>
      </c>
      <c r="X11" s="31">
        <f t="shared" si="3"/>
        <v>1.1962918660287081</v>
      </c>
      <c r="Y11" s="31"/>
      <c r="Z11" s="31"/>
      <c r="AA11" s="77">
        <f t="shared" si="4"/>
        <v>42552</v>
      </c>
      <c r="AB11" s="77">
        <f t="shared" si="5"/>
        <v>42735</v>
      </c>
      <c r="AC11" s="50">
        <v>20</v>
      </c>
      <c r="AD11" s="47">
        <f t="shared" si="6"/>
        <v>0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92</v>
      </c>
      <c r="AI11" s="23">
        <f t="shared" si="11"/>
        <v>0.5</v>
      </c>
      <c r="AJ11" s="23">
        <f t="shared" si="12"/>
        <v>0.59814593301435404</v>
      </c>
      <c r="AK11" s="23">
        <f t="shared" si="13"/>
        <v>5.9814593301435401</v>
      </c>
      <c r="AL11" s="23">
        <f t="shared" si="14"/>
        <v>11.96291866028708</v>
      </c>
      <c r="AM11" s="23">
        <f t="shared" si="15"/>
        <v>0</v>
      </c>
      <c r="AN11" s="23">
        <f t="shared" si="16"/>
        <v>11.96291866028708</v>
      </c>
      <c r="AO11" s="23"/>
      <c r="AP11" s="23"/>
      <c r="AQ11" s="32">
        <f t="shared" si="17"/>
        <v>42736</v>
      </c>
      <c r="AR11" s="32">
        <f t="shared" si="18"/>
        <v>42916</v>
      </c>
      <c r="AS11" s="56">
        <v>0</v>
      </c>
      <c r="AT11" s="47">
        <f t="shared" si="19"/>
        <v>0</v>
      </c>
      <c r="AU11" s="47">
        <f t="shared" si="20"/>
        <v>0</v>
      </c>
      <c r="AV11" s="47">
        <f t="shared" si="21"/>
        <v>0</v>
      </c>
      <c r="AW11" s="47">
        <f t="shared" si="22"/>
        <v>0</v>
      </c>
      <c r="AX11" s="47">
        <f t="shared" si="23"/>
        <v>90.5</v>
      </c>
      <c r="AY11" s="23">
        <f t="shared" si="24"/>
        <v>0.5</v>
      </c>
      <c r="AZ11" s="23">
        <f t="shared" si="25"/>
        <v>0.59814593301435404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 s="47" customFormat="1">
      <c r="A12" s="47" t="s">
        <v>20</v>
      </c>
      <c r="B12" s="47" t="s">
        <v>44</v>
      </c>
      <c r="C12" s="47" t="s">
        <v>22</v>
      </c>
      <c r="D12" s="47" t="s">
        <v>45</v>
      </c>
      <c r="E12" s="51" t="s">
        <v>107</v>
      </c>
      <c r="F12" s="51" t="s">
        <v>108</v>
      </c>
      <c r="G12" s="51" t="s">
        <v>109</v>
      </c>
      <c r="H12" s="47" t="s">
        <v>110</v>
      </c>
      <c r="I12" s="47" t="s">
        <v>111</v>
      </c>
      <c r="J12" s="51" t="s">
        <v>112</v>
      </c>
      <c r="K12" s="51" t="s">
        <v>112</v>
      </c>
      <c r="L12" s="51" t="s">
        <v>112</v>
      </c>
      <c r="M12" s="47">
        <v>1345028</v>
      </c>
      <c r="N12" s="50" t="s">
        <v>272</v>
      </c>
      <c r="O12" s="55">
        <f>DATE(2011,2,21)</f>
        <v>40595</v>
      </c>
      <c r="P12" s="55">
        <f>DATE(2014,6,30)</f>
        <v>41820</v>
      </c>
      <c r="Q12" s="51">
        <v>3290</v>
      </c>
      <c r="R12" s="49"/>
      <c r="S12" s="51">
        <v>2</v>
      </c>
      <c r="U12" s="47">
        <f t="shared" si="0"/>
        <v>1226</v>
      </c>
      <c r="V12" s="31">
        <f t="shared" si="1"/>
        <v>2.6835236541598695</v>
      </c>
      <c r="W12" s="31">
        <f t="shared" si="2"/>
        <v>979.48613376835237</v>
      </c>
      <c r="X12" s="31">
        <f t="shared" si="3"/>
        <v>1.2243576672104404</v>
      </c>
      <c r="Y12" s="31"/>
      <c r="Z12" s="31"/>
      <c r="AA12" s="77">
        <f t="shared" si="4"/>
        <v>42552</v>
      </c>
      <c r="AB12" s="77">
        <f t="shared" si="5"/>
        <v>42735</v>
      </c>
      <c r="AC12" s="50">
        <v>6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0</v>
      </c>
      <c r="AH12" s="47">
        <f t="shared" si="10"/>
        <v>92</v>
      </c>
      <c r="AI12" s="23">
        <f t="shared" si="11"/>
        <v>0.5</v>
      </c>
      <c r="AJ12" s="23">
        <f t="shared" si="12"/>
        <v>0.61217883360522019</v>
      </c>
      <c r="AK12" s="23">
        <f t="shared" si="13"/>
        <v>1.8365365008156607</v>
      </c>
      <c r="AL12" s="23">
        <f t="shared" si="14"/>
        <v>3.6730730016313213</v>
      </c>
      <c r="AM12" s="23">
        <f t="shared" si="15"/>
        <v>0</v>
      </c>
      <c r="AN12" s="23">
        <f t="shared" si="16"/>
        <v>3.6730730016313213</v>
      </c>
      <c r="AO12" s="23"/>
      <c r="AP12" s="23"/>
      <c r="AQ12" s="32">
        <f t="shared" si="17"/>
        <v>42736</v>
      </c>
      <c r="AR12" s="32">
        <f t="shared" si="18"/>
        <v>42916</v>
      </c>
      <c r="AS12" s="50">
        <v>5</v>
      </c>
      <c r="AT12" s="47">
        <f t="shared" si="19"/>
        <v>0</v>
      </c>
      <c r="AU12" s="47">
        <f t="shared" si="20"/>
        <v>0</v>
      </c>
      <c r="AV12" s="47">
        <f t="shared" si="21"/>
        <v>0</v>
      </c>
      <c r="AW12" s="47">
        <f t="shared" si="22"/>
        <v>0</v>
      </c>
      <c r="AX12" s="47">
        <f t="shared" si="23"/>
        <v>90.5</v>
      </c>
      <c r="AY12" s="23">
        <f t="shared" si="24"/>
        <v>0.5</v>
      </c>
      <c r="AZ12" s="23">
        <f t="shared" si="25"/>
        <v>0.61217883360522019</v>
      </c>
      <c r="BA12" s="23">
        <f t="shared" si="26"/>
        <v>1.5304470840130504</v>
      </c>
      <c r="BB12" s="23">
        <f t="shared" si="27"/>
        <v>3.0608941680261008</v>
      </c>
      <c r="BC12" s="23">
        <f t="shared" si="28"/>
        <v>0</v>
      </c>
      <c r="BD12" s="23">
        <f t="shared" si="29"/>
        <v>3.0608941680261008</v>
      </c>
    </row>
    <row r="13" spans="1:57" s="47" customFormat="1">
      <c r="A13" s="47" t="s">
        <v>20</v>
      </c>
      <c r="B13" s="47" t="s">
        <v>44</v>
      </c>
      <c r="C13" s="47" t="s">
        <v>22</v>
      </c>
      <c r="D13" s="47" t="s">
        <v>45</v>
      </c>
      <c r="E13" s="51" t="s">
        <v>107</v>
      </c>
      <c r="F13" s="51" t="s">
        <v>108</v>
      </c>
      <c r="G13" s="51" t="s">
        <v>109</v>
      </c>
      <c r="H13" s="47" t="s">
        <v>110</v>
      </c>
      <c r="I13" s="47" t="s">
        <v>111</v>
      </c>
      <c r="J13" s="51" t="s">
        <v>112</v>
      </c>
      <c r="K13" s="51" t="s">
        <v>112</v>
      </c>
      <c r="L13" s="51" t="s">
        <v>112</v>
      </c>
      <c r="M13" s="47">
        <v>1345029</v>
      </c>
      <c r="N13" s="50" t="s">
        <v>336</v>
      </c>
      <c r="O13" s="55">
        <f>DATE(2012,3,1)</f>
        <v>40969</v>
      </c>
      <c r="P13" s="55">
        <f>DATE(2015,6,30)</f>
        <v>42185</v>
      </c>
      <c r="Q13" s="51">
        <v>3290</v>
      </c>
      <c r="R13" s="49"/>
      <c r="S13" s="51">
        <v>2</v>
      </c>
      <c r="U13" s="47">
        <f t="shared" si="0"/>
        <v>1217</v>
      </c>
      <c r="V13" s="31">
        <f t="shared" si="1"/>
        <v>2.7033689400164338</v>
      </c>
      <c r="W13" s="31">
        <f t="shared" si="2"/>
        <v>986.72966310599838</v>
      </c>
      <c r="X13" s="31">
        <f t="shared" si="3"/>
        <v>1.233412078882498</v>
      </c>
      <c r="Y13" s="31"/>
      <c r="Z13" s="31"/>
      <c r="AA13" s="77">
        <f t="shared" si="4"/>
        <v>42552</v>
      </c>
      <c r="AB13" s="77">
        <f t="shared" si="5"/>
        <v>42735</v>
      </c>
      <c r="AC13" s="50">
        <v>10</v>
      </c>
      <c r="AD13" s="47">
        <f t="shared" si="6"/>
        <v>0</v>
      </c>
      <c r="AE13" s="47">
        <f t="shared" si="7"/>
        <v>0</v>
      </c>
      <c r="AF13" s="47">
        <f t="shared" si="8"/>
        <v>0</v>
      </c>
      <c r="AG13" s="47">
        <f t="shared" si="9"/>
        <v>0</v>
      </c>
      <c r="AH13" s="47">
        <f t="shared" si="10"/>
        <v>92</v>
      </c>
      <c r="AI13" s="23">
        <f t="shared" si="11"/>
        <v>0.5</v>
      </c>
      <c r="AJ13" s="23">
        <f t="shared" si="12"/>
        <v>0.61670603944124902</v>
      </c>
      <c r="AK13" s="23">
        <f t="shared" si="13"/>
        <v>3.0835301972062452</v>
      </c>
      <c r="AL13" s="23">
        <f t="shared" si="14"/>
        <v>6.1670603944124904</v>
      </c>
      <c r="AM13" s="23">
        <f t="shared" si="15"/>
        <v>0</v>
      </c>
      <c r="AN13" s="23">
        <f t="shared" si="16"/>
        <v>6.1670603944124904</v>
      </c>
      <c r="AO13" s="23"/>
      <c r="AP13" s="23"/>
      <c r="AQ13" s="32">
        <f t="shared" si="17"/>
        <v>42736</v>
      </c>
      <c r="AR13" s="32">
        <f t="shared" si="18"/>
        <v>42916</v>
      </c>
      <c r="AS13" s="50">
        <v>10</v>
      </c>
      <c r="AT13" s="47">
        <f t="shared" si="19"/>
        <v>0</v>
      </c>
      <c r="AU13" s="47">
        <f t="shared" si="20"/>
        <v>0</v>
      </c>
      <c r="AV13" s="47">
        <f t="shared" si="21"/>
        <v>0</v>
      </c>
      <c r="AW13" s="47">
        <f t="shared" si="22"/>
        <v>0</v>
      </c>
      <c r="AX13" s="47">
        <f t="shared" si="23"/>
        <v>90.5</v>
      </c>
      <c r="AY13" s="23">
        <f t="shared" si="24"/>
        <v>0.5</v>
      </c>
      <c r="AZ13" s="23">
        <f t="shared" si="25"/>
        <v>0.61670603944124902</v>
      </c>
      <c r="BA13" s="23">
        <f t="shared" si="26"/>
        <v>3.0835301972062452</v>
      </c>
      <c r="BB13" s="23">
        <f t="shared" si="27"/>
        <v>6.1670603944124904</v>
      </c>
      <c r="BC13" s="23">
        <f t="shared" si="28"/>
        <v>0</v>
      </c>
      <c r="BD13" s="23">
        <f t="shared" si="29"/>
        <v>6.1670603944124904</v>
      </c>
    </row>
    <row r="14" spans="1:57" s="47" customFormat="1">
      <c r="A14" s="47" t="s">
        <v>20</v>
      </c>
      <c r="B14" s="47" t="s">
        <v>44</v>
      </c>
      <c r="C14" s="47" t="s">
        <v>22</v>
      </c>
      <c r="D14" s="47" t="s">
        <v>45</v>
      </c>
      <c r="E14" s="51" t="s">
        <v>107</v>
      </c>
      <c r="F14" s="51" t="s">
        <v>108</v>
      </c>
      <c r="G14" s="51" t="s">
        <v>109</v>
      </c>
      <c r="H14" s="47" t="s">
        <v>124</v>
      </c>
      <c r="I14" s="47" t="s">
        <v>125</v>
      </c>
      <c r="J14" s="51" t="s">
        <v>112</v>
      </c>
      <c r="K14" s="51" t="s">
        <v>112</v>
      </c>
      <c r="L14" s="51" t="s">
        <v>112</v>
      </c>
      <c r="M14" s="47">
        <v>1345111</v>
      </c>
      <c r="N14" s="50" t="s">
        <v>280</v>
      </c>
      <c r="O14" s="55">
        <f>DATE(2011,2,21)</f>
        <v>40595</v>
      </c>
      <c r="P14" s="55">
        <f>DATE(2014,6,30)</f>
        <v>41820</v>
      </c>
      <c r="Q14" s="51">
        <v>3750</v>
      </c>
      <c r="R14" s="49"/>
      <c r="S14" s="51">
        <v>2.5</v>
      </c>
      <c r="U14" s="47">
        <f t="shared" si="0"/>
        <v>1226</v>
      </c>
      <c r="V14" s="31">
        <f t="shared" si="1"/>
        <v>3.0587275693311584</v>
      </c>
      <c r="W14" s="31">
        <f t="shared" si="2"/>
        <v>1116.4355628058729</v>
      </c>
      <c r="X14" s="31">
        <f t="shared" si="3"/>
        <v>1.3955444535073411</v>
      </c>
      <c r="Y14" s="31"/>
      <c r="Z14" s="31"/>
      <c r="AA14" s="77">
        <f t="shared" si="4"/>
        <v>42552</v>
      </c>
      <c r="AB14" s="77">
        <f t="shared" si="5"/>
        <v>42735</v>
      </c>
      <c r="AC14" s="50">
        <v>10</v>
      </c>
      <c r="AD14" s="47">
        <f t="shared" si="6"/>
        <v>0</v>
      </c>
      <c r="AE14" s="47">
        <f t="shared" si="7"/>
        <v>0</v>
      </c>
      <c r="AF14" s="47">
        <f t="shared" si="8"/>
        <v>0</v>
      </c>
      <c r="AG14" s="47">
        <f t="shared" si="9"/>
        <v>0</v>
      </c>
      <c r="AH14" s="47">
        <f t="shared" si="10"/>
        <v>92</v>
      </c>
      <c r="AI14" s="23">
        <f t="shared" si="11"/>
        <v>0.5</v>
      </c>
      <c r="AJ14" s="23">
        <f t="shared" si="12"/>
        <v>0.69777222675367057</v>
      </c>
      <c r="AK14" s="23">
        <f t="shared" si="13"/>
        <v>3.4888611337683528</v>
      </c>
      <c r="AL14" s="23">
        <f t="shared" si="14"/>
        <v>8.7221528344208821</v>
      </c>
      <c r="AM14" s="23">
        <f t="shared" si="15"/>
        <v>0</v>
      </c>
      <c r="AN14" s="23">
        <f t="shared" si="16"/>
        <v>8.7221528344208821</v>
      </c>
      <c r="AO14" s="23"/>
      <c r="AP14" s="23"/>
      <c r="AQ14" s="32">
        <f t="shared" si="17"/>
        <v>42736</v>
      </c>
      <c r="AR14" s="32">
        <f t="shared" si="18"/>
        <v>42916</v>
      </c>
      <c r="AS14" s="50">
        <v>10</v>
      </c>
      <c r="AT14" s="47">
        <f t="shared" si="19"/>
        <v>0</v>
      </c>
      <c r="AU14" s="47">
        <f t="shared" si="20"/>
        <v>0</v>
      </c>
      <c r="AV14" s="47">
        <f t="shared" si="21"/>
        <v>0</v>
      </c>
      <c r="AW14" s="47">
        <f t="shared" si="22"/>
        <v>0</v>
      </c>
      <c r="AX14" s="47">
        <f t="shared" si="23"/>
        <v>90.5</v>
      </c>
      <c r="AY14" s="23">
        <f t="shared" si="24"/>
        <v>0.5</v>
      </c>
      <c r="AZ14" s="23">
        <f t="shared" si="25"/>
        <v>0.69777222675367057</v>
      </c>
      <c r="BA14" s="23">
        <f t="shared" si="26"/>
        <v>3.4888611337683528</v>
      </c>
      <c r="BB14" s="23">
        <f t="shared" si="27"/>
        <v>8.7221528344208821</v>
      </c>
      <c r="BC14" s="23">
        <f t="shared" si="28"/>
        <v>0</v>
      </c>
      <c r="BD14" s="23">
        <f t="shared" si="29"/>
        <v>8.7221528344208821</v>
      </c>
    </row>
    <row r="15" spans="1:57" s="47" customFormat="1">
      <c r="A15" s="47" t="s">
        <v>20</v>
      </c>
      <c r="B15" s="47" t="s">
        <v>44</v>
      </c>
      <c r="C15" s="47" t="s">
        <v>22</v>
      </c>
      <c r="D15" s="47" t="s">
        <v>45</v>
      </c>
      <c r="E15" s="51" t="s">
        <v>107</v>
      </c>
      <c r="F15" s="51" t="s">
        <v>108</v>
      </c>
      <c r="G15" s="51" t="s">
        <v>109</v>
      </c>
      <c r="H15" s="47" t="s">
        <v>124</v>
      </c>
      <c r="I15" s="47" t="s">
        <v>125</v>
      </c>
      <c r="J15" s="51" t="s">
        <v>112</v>
      </c>
      <c r="K15" s="51" t="s">
        <v>112</v>
      </c>
      <c r="L15" s="51" t="s">
        <v>112</v>
      </c>
      <c r="M15" s="47">
        <v>1345112</v>
      </c>
      <c r="N15" s="50" t="s">
        <v>338</v>
      </c>
      <c r="O15" s="55">
        <f>DATE(2012,3,1)</f>
        <v>40969</v>
      </c>
      <c r="P15" s="55">
        <f>DATE(2015,6,30)</f>
        <v>42185</v>
      </c>
      <c r="Q15" s="51">
        <v>3750</v>
      </c>
      <c r="R15" s="49"/>
      <c r="S15" s="51">
        <v>2.5</v>
      </c>
      <c r="U15" s="47">
        <f t="shared" si="0"/>
        <v>1217</v>
      </c>
      <c r="V15" s="31">
        <f t="shared" si="1"/>
        <v>3.0813475760065736</v>
      </c>
      <c r="W15" s="31">
        <f t="shared" si="2"/>
        <v>1124.6918652423994</v>
      </c>
      <c r="X15" s="31">
        <f t="shared" si="3"/>
        <v>1.4058648315529993</v>
      </c>
      <c r="Y15" s="31"/>
      <c r="Z15" s="31"/>
      <c r="AA15" s="77">
        <f t="shared" si="4"/>
        <v>42552</v>
      </c>
      <c r="AB15" s="77">
        <f t="shared" si="5"/>
        <v>42735</v>
      </c>
      <c r="AC15" s="50">
        <v>14</v>
      </c>
      <c r="AD15" s="47">
        <f t="shared" si="6"/>
        <v>0</v>
      </c>
      <c r="AE15" s="47">
        <f t="shared" si="7"/>
        <v>0</v>
      </c>
      <c r="AF15" s="47">
        <f t="shared" si="8"/>
        <v>0</v>
      </c>
      <c r="AG15" s="47">
        <f t="shared" si="9"/>
        <v>0</v>
      </c>
      <c r="AH15" s="47">
        <f t="shared" si="10"/>
        <v>92</v>
      </c>
      <c r="AI15" s="23">
        <f t="shared" si="11"/>
        <v>0.5</v>
      </c>
      <c r="AJ15" s="23">
        <f t="shared" si="12"/>
        <v>0.70293241577649967</v>
      </c>
      <c r="AK15" s="23">
        <f t="shared" si="13"/>
        <v>4.9205269104354974</v>
      </c>
      <c r="AL15" s="23">
        <f t="shared" si="14"/>
        <v>12.301317276088744</v>
      </c>
      <c r="AM15" s="23">
        <f t="shared" si="15"/>
        <v>0</v>
      </c>
      <c r="AN15" s="23">
        <f t="shared" si="16"/>
        <v>12.301317276088744</v>
      </c>
      <c r="AO15" s="23"/>
      <c r="AP15" s="23"/>
      <c r="AQ15" s="32">
        <f t="shared" si="17"/>
        <v>42736</v>
      </c>
      <c r="AR15" s="32">
        <f t="shared" si="18"/>
        <v>42916</v>
      </c>
      <c r="AS15" s="50">
        <v>13</v>
      </c>
      <c r="AT15" s="47">
        <f t="shared" si="19"/>
        <v>0</v>
      </c>
      <c r="AU15" s="47">
        <f t="shared" si="20"/>
        <v>0</v>
      </c>
      <c r="AV15" s="47">
        <f t="shared" si="21"/>
        <v>0</v>
      </c>
      <c r="AW15" s="47">
        <f t="shared" si="22"/>
        <v>0</v>
      </c>
      <c r="AX15" s="47">
        <f t="shared" si="23"/>
        <v>90.5</v>
      </c>
      <c r="AY15" s="23">
        <f t="shared" si="24"/>
        <v>0.5</v>
      </c>
      <c r="AZ15" s="23">
        <f t="shared" si="25"/>
        <v>0.70293241577649967</v>
      </c>
      <c r="BA15" s="23">
        <f t="shared" si="26"/>
        <v>4.5690607025472483</v>
      </c>
      <c r="BB15" s="23">
        <f t="shared" si="27"/>
        <v>11.42265175636812</v>
      </c>
      <c r="BC15" s="23">
        <f t="shared" si="28"/>
        <v>0</v>
      </c>
      <c r="BD15" s="23">
        <f t="shared" si="29"/>
        <v>11.42265175636812</v>
      </c>
    </row>
    <row r="16" spans="1:57" s="47" customFormat="1">
      <c r="A16" s="47" t="s">
        <v>20</v>
      </c>
      <c r="B16" s="47" t="s">
        <v>44</v>
      </c>
      <c r="C16" s="47" t="s">
        <v>22</v>
      </c>
      <c r="D16" s="47" t="s">
        <v>45</v>
      </c>
      <c r="E16" s="51" t="s">
        <v>107</v>
      </c>
      <c r="F16" s="51" t="s">
        <v>108</v>
      </c>
      <c r="G16" s="51" t="s">
        <v>109</v>
      </c>
      <c r="H16" s="47" t="s">
        <v>179</v>
      </c>
      <c r="I16" s="47" t="s">
        <v>125</v>
      </c>
      <c r="J16" s="51" t="s">
        <v>112</v>
      </c>
      <c r="K16" s="51" t="s">
        <v>112</v>
      </c>
      <c r="L16" s="51" t="s">
        <v>112</v>
      </c>
      <c r="M16" s="47">
        <v>1345165</v>
      </c>
      <c r="N16" s="50" t="s">
        <v>834</v>
      </c>
      <c r="O16" s="55">
        <f>DATE(2011,2,21)</f>
        <v>40595</v>
      </c>
      <c r="P16" s="55">
        <f>DATE(2014,6,30)</f>
        <v>41820</v>
      </c>
      <c r="Q16" s="51">
        <v>3900</v>
      </c>
      <c r="R16" s="49"/>
      <c r="S16" s="51">
        <v>2</v>
      </c>
      <c r="U16" s="47">
        <f t="shared" si="0"/>
        <v>1226</v>
      </c>
      <c r="V16" s="31">
        <f t="shared" si="1"/>
        <v>3.1810766721044046</v>
      </c>
      <c r="W16" s="31">
        <f t="shared" si="2"/>
        <v>1161.0929853181076</v>
      </c>
      <c r="X16" s="31">
        <f t="shared" si="3"/>
        <v>1.4513662316476346</v>
      </c>
      <c r="Y16" s="31"/>
      <c r="Z16" s="31"/>
      <c r="AA16" s="77">
        <f t="shared" si="4"/>
        <v>42552</v>
      </c>
      <c r="AB16" s="77">
        <f t="shared" si="5"/>
        <v>42735</v>
      </c>
      <c r="AC16" s="50">
        <v>8</v>
      </c>
      <c r="AD16" s="47">
        <f t="shared" si="6"/>
        <v>0</v>
      </c>
      <c r="AE16" s="47">
        <f t="shared" si="7"/>
        <v>0</v>
      </c>
      <c r="AF16" s="47">
        <f t="shared" si="8"/>
        <v>0</v>
      </c>
      <c r="AG16" s="47">
        <f t="shared" si="9"/>
        <v>0</v>
      </c>
      <c r="AH16" s="47">
        <f t="shared" si="10"/>
        <v>92</v>
      </c>
      <c r="AI16" s="23">
        <f t="shared" si="11"/>
        <v>0.5</v>
      </c>
      <c r="AJ16" s="23">
        <f t="shared" si="12"/>
        <v>0.72568311582381728</v>
      </c>
      <c r="AK16" s="23">
        <f t="shared" si="13"/>
        <v>2.9027324632952691</v>
      </c>
      <c r="AL16" s="23">
        <f t="shared" si="14"/>
        <v>5.8054649265905383</v>
      </c>
      <c r="AM16" s="23">
        <f t="shared" si="15"/>
        <v>0</v>
      </c>
      <c r="AN16" s="23">
        <f t="shared" si="16"/>
        <v>5.8054649265905383</v>
      </c>
      <c r="AO16" s="23"/>
      <c r="AP16" s="23"/>
      <c r="AQ16" s="32">
        <f t="shared" si="17"/>
        <v>42736</v>
      </c>
      <c r="AR16" s="32">
        <f t="shared" si="18"/>
        <v>42916</v>
      </c>
      <c r="AS16" s="50">
        <v>8</v>
      </c>
      <c r="AT16" s="47">
        <f t="shared" si="19"/>
        <v>0</v>
      </c>
      <c r="AU16" s="47">
        <f t="shared" si="20"/>
        <v>0</v>
      </c>
      <c r="AV16" s="47">
        <f t="shared" si="21"/>
        <v>0</v>
      </c>
      <c r="AW16" s="47">
        <f t="shared" si="22"/>
        <v>0</v>
      </c>
      <c r="AX16" s="47">
        <f t="shared" si="23"/>
        <v>90.5</v>
      </c>
      <c r="AY16" s="23">
        <f t="shared" si="24"/>
        <v>0.5</v>
      </c>
      <c r="AZ16" s="23">
        <f t="shared" si="25"/>
        <v>0.72568311582381728</v>
      </c>
      <c r="BA16" s="23">
        <f t="shared" si="26"/>
        <v>2.9027324632952691</v>
      </c>
      <c r="BB16" s="23">
        <f t="shared" si="27"/>
        <v>5.8054649265905383</v>
      </c>
      <c r="BC16" s="23">
        <f t="shared" si="28"/>
        <v>0</v>
      </c>
      <c r="BD16" s="23">
        <f t="shared" si="29"/>
        <v>5.8054649265905383</v>
      </c>
    </row>
    <row r="17" spans="1:56" s="47" customFormat="1">
      <c r="A17" s="47" t="s">
        <v>20</v>
      </c>
      <c r="B17" s="47" t="s">
        <v>44</v>
      </c>
      <c r="C17" s="47" t="s">
        <v>22</v>
      </c>
      <c r="D17" s="47" t="s">
        <v>45</v>
      </c>
      <c r="E17" s="51" t="s">
        <v>107</v>
      </c>
      <c r="F17" s="51" t="s">
        <v>108</v>
      </c>
      <c r="G17" s="51" t="s">
        <v>109</v>
      </c>
      <c r="H17" s="47" t="s">
        <v>179</v>
      </c>
      <c r="I17" s="47" t="s">
        <v>125</v>
      </c>
      <c r="J17" s="51" t="s">
        <v>112</v>
      </c>
      <c r="K17" s="51" t="s">
        <v>112</v>
      </c>
      <c r="L17" s="51" t="s">
        <v>112</v>
      </c>
      <c r="M17" s="47">
        <v>1345166</v>
      </c>
      <c r="N17" s="50" t="s">
        <v>835</v>
      </c>
      <c r="O17" s="55">
        <f>DATE(2012,3,1)</f>
        <v>40969</v>
      </c>
      <c r="P17" s="55">
        <f>DATE(2015,6,30)</f>
        <v>42185</v>
      </c>
      <c r="Q17" s="51">
        <v>3900</v>
      </c>
      <c r="R17" s="49"/>
      <c r="S17" s="51">
        <v>2</v>
      </c>
      <c r="U17" s="47">
        <f t="shared" si="0"/>
        <v>1217</v>
      </c>
      <c r="V17" s="31">
        <f t="shared" si="1"/>
        <v>3.2046014790468367</v>
      </c>
      <c r="W17" s="31">
        <f t="shared" si="2"/>
        <v>1169.6795398520953</v>
      </c>
      <c r="X17" s="31">
        <f t="shared" si="3"/>
        <v>1.4620994248151191</v>
      </c>
      <c r="Y17" s="31"/>
      <c r="Z17" s="31"/>
      <c r="AA17" s="77">
        <f t="shared" si="4"/>
        <v>42552</v>
      </c>
      <c r="AB17" s="77">
        <f t="shared" si="5"/>
        <v>42735</v>
      </c>
      <c r="AC17" s="50">
        <v>18</v>
      </c>
      <c r="AD17" s="47">
        <f t="shared" si="6"/>
        <v>0</v>
      </c>
      <c r="AE17" s="47">
        <f t="shared" si="7"/>
        <v>0</v>
      </c>
      <c r="AF17" s="47">
        <f t="shared" si="8"/>
        <v>0</v>
      </c>
      <c r="AG17" s="47">
        <f t="shared" si="9"/>
        <v>0</v>
      </c>
      <c r="AH17" s="47">
        <f t="shared" si="10"/>
        <v>92</v>
      </c>
      <c r="AI17" s="23">
        <f t="shared" si="11"/>
        <v>0.5</v>
      </c>
      <c r="AJ17" s="23">
        <f t="shared" si="12"/>
        <v>0.73104971240755956</v>
      </c>
      <c r="AK17" s="23">
        <f t="shared" si="13"/>
        <v>6.5794474116680357</v>
      </c>
      <c r="AL17" s="23">
        <f t="shared" si="14"/>
        <v>13.158894823336071</v>
      </c>
      <c r="AM17" s="23">
        <f t="shared" si="15"/>
        <v>0</v>
      </c>
      <c r="AN17" s="23">
        <f t="shared" si="16"/>
        <v>13.158894823336071</v>
      </c>
      <c r="AO17" s="23"/>
      <c r="AP17" s="23"/>
      <c r="AQ17" s="32">
        <f t="shared" si="17"/>
        <v>42736</v>
      </c>
      <c r="AR17" s="32">
        <f t="shared" si="18"/>
        <v>42916</v>
      </c>
      <c r="AS17" s="50">
        <v>15</v>
      </c>
      <c r="AT17" s="47">
        <f t="shared" si="19"/>
        <v>0</v>
      </c>
      <c r="AU17" s="47">
        <f t="shared" si="20"/>
        <v>0</v>
      </c>
      <c r="AV17" s="47">
        <f t="shared" si="21"/>
        <v>0</v>
      </c>
      <c r="AW17" s="47">
        <f t="shared" si="22"/>
        <v>0</v>
      </c>
      <c r="AX17" s="47">
        <f t="shared" si="23"/>
        <v>90.5</v>
      </c>
      <c r="AY17" s="23">
        <f t="shared" si="24"/>
        <v>0.5</v>
      </c>
      <c r="AZ17" s="23">
        <f t="shared" si="25"/>
        <v>0.73104971240755956</v>
      </c>
      <c r="BA17" s="23">
        <f t="shared" si="26"/>
        <v>5.4828728430566969</v>
      </c>
      <c r="BB17" s="23">
        <f t="shared" si="27"/>
        <v>10.965745686113394</v>
      </c>
      <c r="BC17" s="23">
        <f t="shared" si="28"/>
        <v>0</v>
      </c>
      <c r="BD17" s="23">
        <f t="shared" si="29"/>
        <v>10.965745686113394</v>
      </c>
    </row>
    <row r="18" spans="1:56" s="47" customFormat="1">
      <c r="A18" s="47" t="s">
        <v>20</v>
      </c>
      <c r="B18" s="47" t="s">
        <v>44</v>
      </c>
      <c r="C18" s="47" t="s">
        <v>22</v>
      </c>
      <c r="D18" s="47" t="s">
        <v>45</v>
      </c>
      <c r="E18" s="51" t="s">
        <v>107</v>
      </c>
      <c r="F18" s="51" t="s">
        <v>232</v>
      </c>
      <c r="G18" s="51" t="s">
        <v>109</v>
      </c>
      <c r="H18" s="47" t="s">
        <v>836</v>
      </c>
      <c r="I18" s="47" t="s">
        <v>278</v>
      </c>
      <c r="J18" s="51" t="s">
        <v>112</v>
      </c>
      <c r="K18" s="51" t="s">
        <v>112</v>
      </c>
      <c r="L18" s="51" t="s">
        <v>112</v>
      </c>
      <c r="M18" s="47">
        <v>1843948</v>
      </c>
      <c r="N18" s="50" t="s">
        <v>837</v>
      </c>
      <c r="O18" s="55">
        <f>DATE(2013,11,4)</f>
        <v>41582</v>
      </c>
      <c r="P18" s="55">
        <f>DATE(2014,1,31)</f>
        <v>41670</v>
      </c>
      <c r="Q18" s="51">
        <v>160</v>
      </c>
      <c r="R18" s="49"/>
      <c r="S18" s="51">
        <v>1</v>
      </c>
      <c r="U18" s="47">
        <f t="shared" si="0"/>
        <v>89</v>
      </c>
      <c r="V18" s="31">
        <f t="shared" si="1"/>
        <v>1.797752808988764</v>
      </c>
      <c r="W18" s="31">
        <f t="shared" si="2"/>
        <v>160</v>
      </c>
      <c r="X18" s="31">
        <f t="shared" si="3"/>
        <v>0.2</v>
      </c>
      <c r="Y18" s="31"/>
      <c r="Z18" s="31"/>
      <c r="AA18" s="77">
        <f t="shared" si="4"/>
        <v>42552</v>
      </c>
      <c r="AB18" s="77">
        <f t="shared" si="5"/>
        <v>42735</v>
      </c>
      <c r="AC18" s="50">
        <v>5</v>
      </c>
      <c r="AD18" s="47">
        <f t="shared" si="6"/>
        <v>0</v>
      </c>
      <c r="AE18" s="47">
        <f t="shared" si="7"/>
        <v>0</v>
      </c>
      <c r="AF18" s="47">
        <f t="shared" si="8"/>
        <v>0</v>
      </c>
      <c r="AG18" s="47">
        <f t="shared" si="9"/>
        <v>0</v>
      </c>
      <c r="AH18" s="47">
        <f t="shared" si="10"/>
        <v>92</v>
      </c>
      <c r="AI18" s="23">
        <f t="shared" si="11"/>
        <v>0.5</v>
      </c>
      <c r="AJ18" s="23">
        <f t="shared" si="12"/>
        <v>0.1</v>
      </c>
      <c r="AK18" s="23">
        <f t="shared" si="13"/>
        <v>0.25</v>
      </c>
      <c r="AL18" s="23">
        <f t="shared" si="14"/>
        <v>0.25</v>
      </c>
      <c r="AM18" s="23">
        <f t="shared" si="15"/>
        <v>0</v>
      </c>
      <c r="AN18" s="23">
        <f t="shared" si="16"/>
        <v>0.25</v>
      </c>
      <c r="AO18" s="23"/>
      <c r="AP18" s="23"/>
      <c r="AQ18" s="32">
        <f t="shared" si="17"/>
        <v>42736</v>
      </c>
      <c r="AR18" s="32">
        <f t="shared" si="18"/>
        <v>42916</v>
      </c>
      <c r="AS18" s="50">
        <v>5</v>
      </c>
      <c r="AT18" s="47">
        <f t="shared" si="19"/>
        <v>0</v>
      </c>
      <c r="AU18" s="47">
        <f t="shared" si="20"/>
        <v>0</v>
      </c>
      <c r="AV18" s="47">
        <f t="shared" si="21"/>
        <v>0</v>
      </c>
      <c r="AW18" s="47">
        <f t="shared" si="22"/>
        <v>0</v>
      </c>
      <c r="AX18" s="47">
        <f t="shared" si="23"/>
        <v>90.5</v>
      </c>
      <c r="AY18" s="23">
        <f t="shared" si="24"/>
        <v>0.5</v>
      </c>
      <c r="AZ18" s="23">
        <f t="shared" si="25"/>
        <v>0.1</v>
      </c>
      <c r="BA18" s="23">
        <f t="shared" si="26"/>
        <v>0.25</v>
      </c>
      <c r="BB18" s="23">
        <f t="shared" si="27"/>
        <v>0.25</v>
      </c>
      <c r="BC18" s="23">
        <f t="shared" si="28"/>
        <v>0</v>
      </c>
      <c r="BD18" s="23">
        <f t="shared" si="29"/>
        <v>0.25</v>
      </c>
    </row>
    <row r="19" spans="1:56" s="47" customFormat="1">
      <c r="A19" s="47" t="s">
        <v>20</v>
      </c>
      <c r="B19" s="47" t="s">
        <v>44</v>
      </c>
      <c r="C19" s="47" t="s">
        <v>22</v>
      </c>
      <c r="D19" s="47" t="s">
        <v>45</v>
      </c>
      <c r="E19" s="51" t="s">
        <v>107</v>
      </c>
      <c r="F19" s="51" t="s">
        <v>108</v>
      </c>
      <c r="G19" s="51" t="s">
        <v>109</v>
      </c>
      <c r="H19" s="47" t="s">
        <v>110</v>
      </c>
      <c r="I19" s="47" t="s">
        <v>111</v>
      </c>
      <c r="J19" s="51" t="s">
        <v>112</v>
      </c>
      <c r="K19" s="51" t="s">
        <v>112</v>
      </c>
      <c r="L19" s="51" t="s">
        <v>112</v>
      </c>
      <c r="M19" s="47">
        <v>1943714</v>
      </c>
      <c r="N19" s="51" t="s">
        <v>838</v>
      </c>
      <c r="O19" s="55">
        <f>DATE(2014,3,10)</f>
        <v>41708</v>
      </c>
      <c r="P19" s="55">
        <f>DATE(2017,6,30)</f>
        <v>42916</v>
      </c>
      <c r="Q19" s="51">
        <v>3740</v>
      </c>
      <c r="R19" s="49"/>
      <c r="S19" s="51">
        <v>2</v>
      </c>
      <c r="U19" s="47">
        <f t="shared" si="0"/>
        <v>1209</v>
      </c>
      <c r="V19" s="31">
        <f t="shared" si="1"/>
        <v>3.0934656741108353</v>
      </c>
      <c r="W19" s="31">
        <f t="shared" si="2"/>
        <v>1129.1149710504549</v>
      </c>
      <c r="X19" s="31">
        <f t="shared" si="3"/>
        <v>1.4113937138130686</v>
      </c>
      <c r="Y19" s="31"/>
      <c r="Z19" s="31"/>
      <c r="AA19" s="77">
        <f t="shared" si="4"/>
        <v>42552</v>
      </c>
      <c r="AB19" s="77">
        <f t="shared" si="5"/>
        <v>42735</v>
      </c>
      <c r="AC19" s="51">
        <v>31</v>
      </c>
      <c r="AD19" s="47">
        <f t="shared" si="6"/>
        <v>184</v>
      </c>
      <c r="AE19" s="47">
        <f t="shared" si="7"/>
        <v>0</v>
      </c>
      <c r="AF19" s="47">
        <f t="shared" si="8"/>
        <v>0</v>
      </c>
      <c r="AG19" s="47">
        <f t="shared" si="9"/>
        <v>0</v>
      </c>
      <c r="AH19" s="47">
        <f t="shared" si="10"/>
        <v>0</v>
      </c>
      <c r="AI19" s="23">
        <f t="shared" si="11"/>
        <v>1</v>
      </c>
      <c r="AJ19" s="23">
        <f t="shared" si="12"/>
        <v>1.4113937138130686</v>
      </c>
      <c r="AK19" s="23">
        <f t="shared" si="13"/>
        <v>43.753205128205124</v>
      </c>
      <c r="AL19" s="23">
        <f t="shared" si="14"/>
        <v>87.506410256410248</v>
      </c>
      <c r="AM19" s="23">
        <f t="shared" si="15"/>
        <v>0</v>
      </c>
      <c r="AN19" s="23">
        <f t="shared" si="16"/>
        <v>87.506410256410248</v>
      </c>
      <c r="AO19" s="23"/>
      <c r="AP19" s="23"/>
      <c r="AQ19" s="32">
        <f t="shared" si="17"/>
        <v>42736</v>
      </c>
      <c r="AR19" s="32">
        <f t="shared" si="18"/>
        <v>42916</v>
      </c>
      <c r="AS19" s="51">
        <v>31</v>
      </c>
      <c r="AT19" s="47">
        <f t="shared" si="19"/>
        <v>0</v>
      </c>
      <c r="AU19" s="47">
        <f t="shared" si="20"/>
        <v>0</v>
      </c>
      <c r="AV19" s="47">
        <f t="shared" si="21"/>
        <v>181</v>
      </c>
      <c r="AW19" s="47">
        <f t="shared" si="22"/>
        <v>0</v>
      </c>
      <c r="AX19" s="47">
        <f t="shared" si="23"/>
        <v>0</v>
      </c>
      <c r="AY19" s="23">
        <f t="shared" si="24"/>
        <v>1</v>
      </c>
      <c r="AZ19" s="23">
        <f t="shared" si="25"/>
        <v>1.4113937138130686</v>
      </c>
      <c r="BA19" s="23">
        <f t="shared" si="26"/>
        <v>43.753205128205124</v>
      </c>
      <c r="BB19" s="23">
        <f t="shared" si="27"/>
        <v>87.506410256410248</v>
      </c>
      <c r="BC19" s="23">
        <f t="shared" si="28"/>
        <v>0</v>
      </c>
      <c r="BD19" s="23">
        <f t="shared" si="29"/>
        <v>87.506410256410248</v>
      </c>
    </row>
    <row r="20" spans="1:56" s="47" customFormat="1">
      <c r="A20" s="47" t="s">
        <v>20</v>
      </c>
      <c r="B20" s="47" t="s">
        <v>44</v>
      </c>
      <c r="C20" s="47" t="s">
        <v>22</v>
      </c>
      <c r="D20" s="47" t="s">
        <v>45</v>
      </c>
      <c r="E20" s="51" t="s">
        <v>107</v>
      </c>
      <c r="F20" s="51" t="s">
        <v>108</v>
      </c>
      <c r="G20" s="51" t="s">
        <v>109</v>
      </c>
      <c r="H20" s="47" t="s">
        <v>124</v>
      </c>
      <c r="I20" s="47" t="s">
        <v>125</v>
      </c>
      <c r="J20" s="51" t="s">
        <v>112</v>
      </c>
      <c r="K20" s="51" t="s">
        <v>112</v>
      </c>
      <c r="L20" s="51" t="s">
        <v>112</v>
      </c>
      <c r="M20" s="47">
        <v>1943726</v>
      </c>
      <c r="N20" s="51" t="s">
        <v>839</v>
      </c>
      <c r="O20" s="55">
        <f>DATE(2014,3,10)</f>
        <v>41708</v>
      </c>
      <c r="P20" s="55">
        <f>DATE(2017,6,30)</f>
        <v>42916</v>
      </c>
      <c r="Q20" s="51">
        <v>3750</v>
      </c>
      <c r="R20" s="49"/>
      <c r="S20" s="51">
        <v>2.5</v>
      </c>
      <c r="U20" s="47">
        <f t="shared" si="0"/>
        <v>1209</v>
      </c>
      <c r="V20" s="31">
        <f t="shared" si="1"/>
        <v>3.1017369727047148</v>
      </c>
      <c r="W20" s="31">
        <f t="shared" si="2"/>
        <v>1132.133995037221</v>
      </c>
      <c r="X20" s="31">
        <f t="shared" si="3"/>
        <v>1.4151674937965262</v>
      </c>
      <c r="Y20" s="31"/>
      <c r="Z20" s="31"/>
      <c r="AA20" s="77">
        <f t="shared" si="4"/>
        <v>42552</v>
      </c>
      <c r="AB20" s="77">
        <f t="shared" si="5"/>
        <v>42735</v>
      </c>
      <c r="AC20" s="51">
        <v>27</v>
      </c>
      <c r="AD20" s="47">
        <f t="shared" si="6"/>
        <v>184</v>
      </c>
      <c r="AE20" s="47">
        <f t="shared" si="7"/>
        <v>0</v>
      </c>
      <c r="AF20" s="47">
        <f t="shared" si="8"/>
        <v>0</v>
      </c>
      <c r="AG20" s="47">
        <f t="shared" si="9"/>
        <v>0</v>
      </c>
      <c r="AH20" s="47">
        <f t="shared" si="10"/>
        <v>0</v>
      </c>
      <c r="AI20" s="23">
        <f t="shared" si="11"/>
        <v>1</v>
      </c>
      <c r="AJ20" s="23">
        <f t="shared" si="12"/>
        <v>1.4151674937965262</v>
      </c>
      <c r="AK20" s="23">
        <f t="shared" si="13"/>
        <v>38.209522332506204</v>
      </c>
      <c r="AL20" s="23">
        <f t="shared" si="14"/>
        <v>95.523805831265506</v>
      </c>
      <c r="AM20" s="23">
        <f t="shared" si="15"/>
        <v>0</v>
      </c>
      <c r="AN20" s="23">
        <f t="shared" si="16"/>
        <v>95.523805831265506</v>
      </c>
      <c r="AO20" s="23"/>
      <c r="AP20" s="23"/>
      <c r="AQ20" s="32">
        <f t="shared" si="17"/>
        <v>42736</v>
      </c>
      <c r="AR20" s="32">
        <f t="shared" si="18"/>
        <v>42916</v>
      </c>
      <c r="AS20" s="51">
        <v>27</v>
      </c>
      <c r="AT20" s="47">
        <f t="shared" si="19"/>
        <v>0</v>
      </c>
      <c r="AU20" s="47">
        <f t="shared" si="20"/>
        <v>0</v>
      </c>
      <c r="AV20" s="47">
        <f t="shared" si="21"/>
        <v>181</v>
      </c>
      <c r="AW20" s="47">
        <f t="shared" si="22"/>
        <v>0</v>
      </c>
      <c r="AX20" s="47">
        <f t="shared" si="23"/>
        <v>0</v>
      </c>
      <c r="AY20" s="23">
        <f t="shared" si="24"/>
        <v>1</v>
      </c>
      <c r="AZ20" s="23">
        <f t="shared" si="25"/>
        <v>1.4151674937965262</v>
      </c>
      <c r="BA20" s="23">
        <f t="shared" si="26"/>
        <v>38.209522332506204</v>
      </c>
      <c r="BB20" s="23">
        <f t="shared" si="27"/>
        <v>95.523805831265506</v>
      </c>
      <c r="BC20" s="23">
        <f t="shared" si="28"/>
        <v>0</v>
      </c>
      <c r="BD20" s="23">
        <f t="shared" si="29"/>
        <v>95.523805831265506</v>
      </c>
    </row>
    <row r="21" spans="1:56" s="47" customFormat="1">
      <c r="A21" s="47" t="s">
        <v>20</v>
      </c>
      <c r="B21" s="47" t="s">
        <v>44</v>
      </c>
      <c r="C21" s="47" t="s">
        <v>22</v>
      </c>
      <c r="D21" s="47" t="s">
        <v>45</v>
      </c>
      <c r="E21" s="51" t="s">
        <v>107</v>
      </c>
      <c r="F21" s="51" t="s">
        <v>108</v>
      </c>
      <c r="G21" s="51" t="s">
        <v>109</v>
      </c>
      <c r="H21" s="47" t="s">
        <v>179</v>
      </c>
      <c r="I21" s="47" t="s">
        <v>125</v>
      </c>
      <c r="J21" s="51" t="s">
        <v>112</v>
      </c>
      <c r="K21" s="51" t="s">
        <v>112</v>
      </c>
      <c r="L21" s="51" t="s">
        <v>112</v>
      </c>
      <c r="M21" s="47">
        <v>1943760</v>
      </c>
      <c r="N21" s="51" t="s">
        <v>840</v>
      </c>
      <c r="O21" s="55">
        <f>DATE(2014,3,10)</f>
        <v>41708</v>
      </c>
      <c r="P21" s="55">
        <f>DATE(2017,6,30)</f>
        <v>42916</v>
      </c>
      <c r="Q21" s="51">
        <v>3900</v>
      </c>
      <c r="R21" s="49"/>
      <c r="S21" s="51">
        <v>2</v>
      </c>
      <c r="U21" s="47">
        <f t="shared" si="0"/>
        <v>1209</v>
      </c>
      <c r="V21" s="31">
        <f t="shared" si="1"/>
        <v>3.225806451612903</v>
      </c>
      <c r="W21" s="31">
        <f t="shared" si="2"/>
        <v>1177.4193548387095</v>
      </c>
      <c r="X21" s="31">
        <f t="shared" si="3"/>
        <v>1.471774193548387</v>
      </c>
      <c r="Y21" s="31"/>
      <c r="Z21" s="31"/>
      <c r="AA21" s="77">
        <f t="shared" si="4"/>
        <v>42552</v>
      </c>
      <c r="AB21" s="77">
        <f t="shared" si="5"/>
        <v>42735</v>
      </c>
      <c r="AC21" s="51">
        <v>14</v>
      </c>
      <c r="AD21" s="47">
        <f t="shared" si="6"/>
        <v>184</v>
      </c>
      <c r="AE21" s="47">
        <f t="shared" si="7"/>
        <v>0</v>
      </c>
      <c r="AF21" s="47">
        <f t="shared" si="8"/>
        <v>0</v>
      </c>
      <c r="AG21" s="47">
        <f t="shared" si="9"/>
        <v>0</v>
      </c>
      <c r="AH21" s="47">
        <f t="shared" si="10"/>
        <v>0</v>
      </c>
      <c r="AI21" s="23">
        <f t="shared" si="11"/>
        <v>1</v>
      </c>
      <c r="AJ21" s="23">
        <f t="shared" si="12"/>
        <v>1.471774193548387</v>
      </c>
      <c r="AK21" s="23">
        <f t="shared" si="13"/>
        <v>20.604838709677416</v>
      </c>
      <c r="AL21" s="23">
        <f t="shared" si="14"/>
        <v>41.209677419354833</v>
      </c>
      <c r="AM21" s="23">
        <f t="shared" si="15"/>
        <v>0</v>
      </c>
      <c r="AN21" s="23">
        <f t="shared" si="16"/>
        <v>41.209677419354833</v>
      </c>
      <c r="AO21" s="23"/>
      <c r="AP21" s="23"/>
      <c r="AQ21" s="32">
        <f t="shared" si="17"/>
        <v>42736</v>
      </c>
      <c r="AR21" s="32">
        <f t="shared" si="18"/>
        <v>42916</v>
      </c>
      <c r="AS21" s="51">
        <v>13</v>
      </c>
      <c r="AT21" s="47">
        <f t="shared" si="19"/>
        <v>0</v>
      </c>
      <c r="AU21" s="47">
        <f t="shared" si="20"/>
        <v>0</v>
      </c>
      <c r="AV21" s="47">
        <f t="shared" si="21"/>
        <v>181</v>
      </c>
      <c r="AW21" s="47">
        <f t="shared" si="22"/>
        <v>0</v>
      </c>
      <c r="AX21" s="47">
        <f t="shared" si="23"/>
        <v>0</v>
      </c>
      <c r="AY21" s="23">
        <f t="shared" si="24"/>
        <v>1</v>
      </c>
      <c r="AZ21" s="23">
        <f t="shared" si="25"/>
        <v>1.471774193548387</v>
      </c>
      <c r="BA21" s="23">
        <f t="shared" si="26"/>
        <v>19.133064516129032</v>
      </c>
      <c r="BB21" s="23">
        <f t="shared" si="27"/>
        <v>38.266129032258064</v>
      </c>
      <c r="BC21" s="23">
        <f t="shared" si="28"/>
        <v>0</v>
      </c>
      <c r="BD21" s="23">
        <f t="shared" si="29"/>
        <v>38.266129032258064</v>
      </c>
    </row>
    <row r="22" spans="1:56" s="47" customFormat="1">
      <c r="A22" s="47" t="s">
        <v>20</v>
      </c>
      <c r="B22" s="47" t="s">
        <v>44</v>
      </c>
      <c r="C22" s="47" t="s">
        <v>22</v>
      </c>
      <c r="D22" s="47" t="s">
        <v>45</v>
      </c>
      <c r="E22" s="51" t="s">
        <v>107</v>
      </c>
      <c r="F22" s="51" t="s">
        <v>294</v>
      </c>
      <c r="G22" s="51" t="s">
        <v>109</v>
      </c>
      <c r="H22" s="47" t="s">
        <v>301</v>
      </c>
      <c r="I22" s="47" t="s">
        <v>111</v>
      </c>
      <c r="J22" s="51" t="s">
        <v>112</v>
      </c>
      <c r="K22" s="51" t="s">
        <v>112</v>
      </c>
      <c r="L22" s="51" t="s">
        <v>112</v>
      </c>
      <c r="M22" s="47">
        <v>1947889</v>
      </c>
      <c r="N22" s="50" t="s">
        <v>841</v>
      </c>
      <c r="O22" s="55">
        <f>DATE(2014,5,19)</f>
        <v>41778</v>
      </c>
      <c r="P22" s="55">
        <f>DATE(2016,12,30)</f>
        <v>42734</v>
      </c>
      <c r="Q22" s="51">
        <v>2900</v>
      </c>
      <c r="R22" s="49"/>
      <c r="S22" s="51">
        <v>2</v>
      </c>
      <c r="U22" s="47">
        <f t="shared" si="0"/>
        <v>957</v>
      </c>
      <c r="V22" s="31">
        <f t="shared" si="1"/>
        <v>3.0303030303030303</v>
      </c>
      <c r="W22" s="31">
        <f t="shared" si="2"/>
        <v>1106.060606060606</v>
      </c>
      <c r="X22" s="31">
        <f t="shared" si="3"/>
        <v>1.3825757575757576</v>
      </c>
      <c r="Y22" s="31"/>
      <c r="Z22" s="31"/>
      <c r="AA22" s="77">
        <f t="shared" si="4"/>
        <v>42552</v>
      </c>
      <c r="AB22" s="77">
        <f t="shared" si="5"/>
        <v>42735</v>
      </c>
      <c r="AC22" s="50">
        <v>15</v>
      </c>
      <c r="AD22" s="47">
        <f t="shared" si="6"/>
        <v>0</v>
      </c>
      <c r="AE22" s="47">
        <f t="shared" si="7"/>
        <v>0</v>
      </c>
      <c r="AF22" s="47">
        <f t="shared" si="8"/>
        <v>183</v>
      </c>
      <c r="AG22" s="47">
        <f t="shared" si="9"/>
        <v>0</v>
      </c>
      <c r="AH22" s="47">
        <f t="shared" si="10"/>
        <v>0</v>
      </c>
      <c r="AI22" s="23">
        <f t="shared" si="11"/>
        <v>0.99456521739130432</v>
      </c>
      <c r="AJ22" s="23">
        <f t="shared" si="12"/>
        <v>1.3750617588932805</v>
      </c>
      <c r="AK22" s="23">
        <f t="shared" si="13"/>
        <v>20.625926383399207</v>
      </c>
      <c r="AL22" s="23">
        <f t="shared" si="14"/>
        <v>41.251852766798415</v>
      </c>
      <c r="AM22" s="23">
        <f t="shared" si="15"/>
        <v>0</v>
      </c>
      <c r="AN22" s="23">
        <f t="shared" si="16"/>
        <v>41.251852766798415</v>
      </c>
      <c r="AO22" s="23"/>
      <c r="AP22" s="23"/>
      <c r="AQ22" s="32">
        <f t="shared" si="17"/>
        <v>42736</v>
      </c>
      <c r="AR22" s="32">
        <f t="shared" si="18"/>
        <v>42916</v>
      </c>
      <c r="AS22" s="50">
        <v>14</v>
      </c>
      <c r="AT22" s="47">
        <f t="shared" si="19"/>
        <v>0</v>
      </c>
      <c r="AU22" s="47">
        <f t="shared" si="20"/>
        <v>0</v>
      </c>
      <c r="AV22" s="47">
        <f t="shared" si="21"/>
        <v>0</v>
      </c>
      <c r="AW22" s="47">
        <f t="shared" si="22"/>
        <v>0</v>
      </c>
      <c r="AX22" s="47">
        <f t="shared" si="23"/>
        <v>90.5</v>
      </c>
      <c r="AY22" s="23">
        <f t="shared" si="24"/>
        <v>0.5</v>
      </c>
      <c r="AZ22" s="23">
        <f t="shared" si="25"/>
        <v>0.69128787878787878</v>
      </c>
      <c r="BA22" s="23">
        <f t="shared" si="26"/>
        <v>4.8390151515151514</v>
      </c>
      <c r="BB22" s="23">
        <f t="shared" si="27"/>
        <v>9.6780303030303028</v>
      </c>
      <c r="BC22" s="23">
        <f t="shared" si="28"/>
        <v>0</v>
      </c>
      <c r="BD22" s="23">
        <f t="shared" si="29"/>
        <v>9.6780303030303028</v>
      </c>
    </row>
    <row r="23" spans="1:56" s="47" customFormat="1">
      <c r="A23" s="47" t="s">
        <v>20</v>
      </c>
      <c r="B23" s="47" t="s">
        <v>44</v>
      </c>
      <c r="C23" s="47" t="s">
        <v>22</v>
      </c>
      <c r="D23" s="47" t="s">
        <v>45</v>
      </c>
      <c r="E23" s="51" t="s">
        <v>107</v>
      </c>
      <c r="F23" s="51" t="s">
        <v>294</v>
      </c>
      <c r="G23" s="51" t="s">
        <v>109</v>
      </c>
      <c r="H23" s="47" t="s">
        <v>297</v>
      </c>
      <c r="I23" s="47" t="s">
        <v>147</v>
      </c>
      <c r="J23" s="51" t="s">
        <v>112</v>
      </c>
      <c r="K23" s="51" t="s">
        <v>112</v>
      </c>
      <c r="L23" s="51" t="s">
        <v>112</v>
      </c>
      <c r="M23" s="47">
        <v>1948594</v>
      </c>
      <c r="N23" s="50" t="s">
        <v>842</v>
      </c>
      <c r="O23" s="55">
        <f>DATE(2014,5,19)</f>
        <v>41778</v>
      </c>
      <c r="P23" s="55">
        <f>DATE(2016,12,30)</f>
        <v>42734</v>
      </c>
      <c r="Q23" s="51">
        <v>3093</v>
      </c>
      <c r="R23" s="49"/>
      <c r="S23" s="51">
        <v>2</v>
      </c>
      <c r="U23" s="47">
        <f t="shared" si="0"/>
        <v>957</v>
      </c>
      <c r="V23" s="31">
        <f t="shared" si="1"/>
        <v>3.2319749216300941</v>
      </c>
      <c r="W23" s="31">
        <f t="shared" si="2"/>
        <v>1179.6708463949844</v>
      </c>
      <c r="X23" s="31">
        <f t="shared" si="3"/>
        <v>1.4745885579937306</v>
      </c>
      <c r="Y23" s="31"/>
      <c r="Z23" s="31"/>
      <c r="AA23" s="77">
        <f t="shared" si="4"/>
        <v>42552</v>
      </c>
      <c r="AB23" s="77">
        <f t="shared" si="5"/>
        <v>42735</v>
      </c>
      <c r="AC23" s="50">
        <v>22</v>
      </c>
      <c r="AD23" s="47">
        <f t="shared" si="6"/>
        <v>0</v>
      </c>
      <c r="AE23" s="47">
        <f t="shared" si="7"/>
        <v>0</v>
      </c>
      <c r="AF23" s="47">
        <f t="shared" si="8"/>
        <v>183</v>
      </c>
      <c r="AG23" s="47">
        <f t="shared" si="9"/>
        <v>0</v>
      </c>
      <c r="AH23" s="47">
        <f t="shared" si="10"/>
        <v>0</v>
      </c>
      <c r="AI23" s="23">
        <f t="shared" si="11"/>
        <v>0.99456521739130432</v>
      </c>
      <c r="AJ23" s="23">
        <f t="shared" si="12"/>
        <v>1.4665744897437647</v>
      </c>
      <c r="AK23" s="23">
        <f t="shared" si="13"/>
        <v>32.264638774362822</v>
      </c>
      <c r="AL23" s="23">
        <f t="shared" si="14"/>
        <v>64.529277548725645</v>
      </c>
      <c r="AM23" s="23">
        <f t="shared" si="15"/>
        <v>0</v>
      </c>
      <c r="AN23" s="23">
        <f t="shared" si="16"/>
        <v>64.529277548725645</v>
      </c>
      <c r="AO23" s="23"/>
      <c r="AP23" s="23"/>
      <c r="AQ23" s="32">
        <f t="shared" si="17"/>
        <v>42736</v>
      </c>
      <c r="AR23" s="32">
        <f t="shared" si="18"/>
        <v>42916</v>
      </c>
      <c r="AS23" s="50">
        <v>22</v>
      </c>
      <c r="AT23" s="47">
        <f t="shared" si="19"/>
        <v>0</v>
      </c>
      <c r="AU23" s="47">
        <f t="shared" si="20"/>
        <v>0</v>
      </c>
      <c r="AV23" s="47">
        <f t="shared" si="21"/>
        <v>0</v>
      </c>
      <c r="AW23" s="47">
        <f t="shared" si="22"/>
        <v>0</v>
      </c>
      <c r="AX23" s="47">
        <f t="shared" si="23"/>
        <v>90.5</v>
      </c>
      <c r="AY23" s="23">
        <f t="shared" si="24"/>
        <v>0.5</v>
      </c>
      <c r="AZ23" s="23">
        <f t="shared" si="25"/>
        <v>0.73729427899686528</v>
      </c>
      <c r="BA23" s="23">
        <f t="shared" si="26"/>
        <v>8.1102370689655174</v>
      </c>
      <c r="BB23" s="23">
        <f t="shared" si="27"/>
        <v>16.220474137931035</v>
      </c>
      <c r="BC23" s="23">
        <f t="shared" si="28"/>
        <v>0</v>
      </c>
      <c r="BD23" s="23">
        <f t="shared" si="29"/>
        <v>16.220474137931035</v>
      </c>
    </row>
    <row r="24" spans="1:56" s="47" customFormat="1">
      <c r="A24" s="47" t="s">
        <v>20</v>
      </c>
      <c r="B24" s="47" t="s">
        <v>44</v>
      </c>
      <c r="C24" s="47" t="s">
        <v>22</v>
      </c>
      <c r="D24" s="47" t="s">
        <v>45</v>
      </c>
      <c r="E24" s="51" t="s">
        <v>154</v>
      </c>
      <c r="F24" s="51" t="s">
        <v>108</v>
      </c>
      <c r="G24" s="51" t="s">
        <v>109</v>
      </c>
      <c r="H24" s="47" t="s">
        <v>169</v>
      </c>
      <c r="I24" s="47" t="s">
        <v>116</v>
      </c>
      <c r="J24" s="51" t="s">
        <v>112</v>
      </c>
      <c r="K24" s="51" t="s">
        <v>112</v>
      </c>
      <c r="L24" s="51" t="s">
        <v>148</v>
      </c>
      <c r="M24" s="47">
        <v>1970403</v>
      </c>
      <c r="N24" s="50" t="s">
        <v>471</v>
      </c>
      <c r="O24" s="55">
        <f>DATE(2014,10,1)</f>
        <v>41913</v>
      </c>
      <c r="P24" s="55">
        <f>DATE(2016,11,30)</f>
        <v>42704</v>
      </c>
      <c r="Q24" s="51">
        <v>1680</v>
      </c>
      <c r="R24" s="49"/>
      <c r="S24" s="51">
        <v>2</v>
      </c>
      <c r="U24" s="47">
        <f t="shared" si="0"/>
        <v>792</v>
      </c>
      <c r="V24" s="31">
        <f t="shared" si="1"/>
        <v>2.1212121212121211</v>
      </c>
      <c r="W24" s="31">
        <f t="shared" si="2"/>
        <v>774.24242424242425</v>
      </c>
      <c r="X24" s="31">
        <f t="shared" si="3"/>
        <v>0.96780303030303028</v>
      </c>
      <c r="Y24" s="31"/>
      <c r="Z24" s="31"/>
      <c r="AA24" s="77">
        <f t="shared" si="4"/>
        <v>42552</v>
      </c>
      <c r="AB24" s="77">
        <f t="shared" si="5"/>
        <v>42735</v>
      </c>
      <c r="AC24" s="50">
        <v>32</v>
      </c>
      <c r="AD24" s="47">
        <f t="shared" si="6"/>
        <v>0</v>
      </c>
      <c r="AE24" s="47">
        <f t="shared" si="7"/>
        <v>0</v>
      </c>
      <c r="AF24" s="47">
        <f t="shared" si="8"/>
        <v>153</v>
      </c>
      <c r="AG24" s="47">
        <f t="shared" si="9"/>
        <v>0</v>
      </c>
      <c r="AH24" s="47">
        <f t="shared" si="10"/>
        <v>0</v>
      </c>
      <c r="AI24" s="23">
        <f t="shared" si="11"/>
        <v>0.83152173913043481</v>
      </c>
      <c r="AJ24" s="23">
        <f t="shared" si="12"/>
        <v>0.80474925889328064</v>
      </c>
      <c r="AK24" s="23">
        <f t="shared" si="13"/>
        <v>25.75197628458498</v>
      </c>
      <c r="AL24" s="23">
        <f t="shared" si="14"/>
        <v>51.503952569169961</v>
      </c>
      <c r="AM24" s="23">
        <f t="shared" si="15"/>
        <v>0</v>
      </c>
      <c r="AN24" s="23">
        <f t="shared" si="16"/>
        <v>51.503952569169961</v>
      </c>
      <c r="AO24" s="23"/>
      <c r="AP24" s="23"/>
      <c r="AQ24" s="32">
        <f t="shared" si="17"/>
        <v>42736</v>
      </c>
      <c r="AR24" s="32">
        <f t="shared" si="18"/>
        <v>42916</v>
      </c>
      <c r="AS24" s="50">
        <v>32</v>
      </c>
      <c r="AT24" s="47">
        <f t="shared" si="19"/>
        <v>0</v>
      </c>
      <c r="AU24" s="47">
        <f t="shared" si="20"/>
        <v>0</v>
      </c>
      <c r="AV24" s="47">
        <f t="shared" si="21"/>
        <v>0</v>
      </c>
      <c r="AW24" s="47">
        <f t="shared" si="22"/>
        <v>0</v>
      </c>
      <c r="AX24" s="47">
        <f t="shared" si="23"/>
        <v>90.5</v>
      </c>
      <c r="AY24" s="23">
        <f t="shared" si="24"/>
        <v>0.5</v>
      </c>
      <c r="AZ24" s="23">
        <f t="shared" si="25"/>
        <v>0.48390151515151514</v>
      </c>
      <c r="BA24" s="23">
        <f t="shared" si="26"/>
        <v>7.7424242424242422</v>
      </c>
      <c r="BB24" s="23">
        <f t="shared" si="27"/>
        <v>15.484848484848484</v>
      </c>
      <c r="BC24" s="23">
        <f t="shared" si="28"/>
        <v>0</v>
      </c>
      <c r="BD24" s="23">
        <f t="shared" si="29"/>
        <v>15.484848484848484</v>
      </c>
    </row>
    <row r="25" spans="1:56" s="47" customFormat="1">
      <c r="A25" s="47" t="s">
        <v>20</v>
      </c>
      <c r="B25" s="47" t="s">
        <v>44</v>
      </c>
      <c r="C25" s="47" t="s">
        <v>22</v>
      </c>
      <c r="D25" s="47" t="s">
        <v>45</v>
      </c>
      <c r="E25" s="51" t="s">
        <v>154</v>
      </c>
      <c r="F25" s="51" t="s">
        <v>108</v>
      </c>
      <c r="G25" s="51" t="s">
        <v>109</v>
      </c>
      <c r="H25" s="47" t="s">
        <v>224</v>
      </c>
      <c r="I25" s="47" t="s">
        <v>167</v>
      </c>
      <c r="J25" s="51" t="s">
        <v>112</v>
      </c>
      <c r="K25" s="51" t="s">
        <v>112</v>
      </c>
      <c r="L25" s="51" t="s">
        <v>148</v>
      </c>
      <c r="M25" s="47">
        <v>1970404</v>
      </c>
      <c r="N25" s="50" t="s">
        <v>468</v>
      </c>
      <c r="O25" s="55">
        <f>DATE(2014,10,1)</f>
        <v>41913</v>
      </c>
      <c r="P25" s="55">
        <f>DATE(2016,11,30)</f>
        <v>42704</v>
      </c>
      <c r="Q25" s="51">
        <v>1680</v>
      </c>
      <c r="R25" s="49"/>
      <c r="S25" s="51">
        <v>1</v>
      </c>
      <c r="U25" s="47">
        <f t="shared" si="0"/>
        <v>792</v>
      </c>
      <c r="V25" s="31">
        <f t="shared" si="1"/>
        <v>2.1212121212121211</v>
      </c>
      <c r="W25" s="31">
        <f t="shared" si="2"/>
        <v>774.24242424242425</v>
      </c>
      <c r="X25" s="31">
        <f t="shared" si="3"/>
        <v>0.96780303030303028</v>
      </c>
      <c r="Y25" s="31"/>
      <c r="Z25" s="31"/>
      <c r="AA25" s="77">
        <f t="shared" si="4"/>
        <v>42552</v>
      </c>
      <c r="AB25" s="77">
        <f t="shared" si="5"/>
        <v>42735</v>
      </c>
      <c r="AC25" s="50">
        <v>48</v>
      </c>
      <c r="AD25" s="47">
        <f t="shared" si="6"/>
        <v>0</v>
      </c>
      <c r="AE25" s="47">
        <f t="shared" si="7"/>
        <v>0</v>
      </c>
      <c r="AF25" s="47">
        <f t="shared" si="8"/>
        <v>153</v>
      </c>
      <c r="AG25" s="47">
        <f t="shared" si="9"/>
        <v>0</v>
      </c>
      <c r="AH25" s="47">
        <f t="shared" si="10"/>
        <v>0</v>
      </c>
      <c r="AI25" s="23">
        <f t="shared" si="11"/>
        <v>0.83152173913043481</v>
      </c>
      <c r="AJ25" s="23">
        <f t="shared" si="12"/>
        <v>0.80474925889328064</v>
      </c>
      <c r="AK25" s="23">
        <f t="shared" si="13"/>
        <v>38.627964426877469</v>
      </c>
      <c r="AL25" s="23">
        <f t="shared" si="14"/>
        <v>38.627964426877469</v>
      </c>
      <c r="AM25" s="23">
        <f t="shared" si="15"/>
        <v>0</v>
      </c>
      <c r="AN25" s="23">
        <f t="shared" si="16"/>
        <v>38.627964426877469</v>
      </c>
      <c r="AO25" s="23"/>
      <c r="AP25" s="23"/>
      <c r="AQ25" s="32">
        <f t="shared" si="17"/>
        <v>42736</v>
      </c>
      <c r="AR25" s="32">
        <f t="shared" si="18"/>
        <v>42916</v>
      </c>
      <c r="AS25" s="50">
        <v>48</v>
      </c>
      <c r="AT25" s="47">
        <f t="shared" si="19"/>
        <v>0</v>
      </c>
      <c r="AU25" s="47">
        <f t="shared" si="20"/>
        <v>0</v>
      </c>
      <c r="AV25" s="47">
        <f t="shared" si="21"/>
        <v>0</v>
      </c>
      <c r="AW25" s="47">
        <f t="shared" si="22"/>
        <v>0</v>
      </c>
      <c r="AX25" s="47">
        <f t="shared" si="23"/>
        <v>90.5</v>
      </c>
      <c r="AY25" s="23">
        <f t="shared" si="24"/>
        <v>0.5</v>
      </c>
      <c r="AZ25" s="23">
        <f t="shared" si="25"/>
        <v>0.48390151515151514</v>
      </c>
      <c r="BA25" s="23">
        <f t="shared" si="26"/>
        <v>11.613636363636363</v>
      </c>
      <c r="BB25" s="23">
        <f t="shared" si="27"/>
        <v>11.613636363636363</v>
      </c>
      <c r="BC25" s="23">
        <f t="shared" si="28"/>
        <v>0</v>
      </c>
      <c r="BD25" s="23">
        <f t="shared" si="29"/>
        <v>11.613636363636363</v>
      </c>
    </row>
    <row r="26" spans="1:56" s="47" customFormat="1">
      <c r="A26" s="47" t="s">
        <v>20</v>
      </c>
      <c r="B26" s="47" t="s">
        <v>44</v>
      </c>
      <c r="C26" s="47" t="s">
        <v>22</v>
      </c>
      <c r="D26" s="47" t="s">
        <v>45</v>
      </c>
      <c r="E26" s="51" t="s">
        <v>107</v>
      </c>
      <c r="F26" s="51" t="s">
        <v>108</v>
      </c>
      <c r="G26" s="51" t="s">
        <v>109</v>
      </c>
      <c r="H26" s="47" t="s">
        <v>124</v>
      </c>
      <c r="I26" s="47" t="s">
        <v>125</v>
      </c>
      <c r="J26" s="51" t="s">
        <v>112</v>
      </c>
      <c r="K26" s="51" t="s">
        <v>112</v>
      </c>
      <c r="L26" s="51" t="s">
        <v>112</v>
      </c>
      <c r="M26" s="47">
        <v>2016201</v>
      </c>
      <c r="N26" s="52" t="s">
        <v>843</v>
      </c>
      <c r="O26" s="55">
        <f>DATE(2015,2,9)</f>
        <v>42044</v>
      </c>
      <c r="P26" s="55">
        <f>DATE(2018,6,30)</f>
        <v>43281</v>
      </c>
      <c r="Q26" s="51">
        <v>3750</v>
      </c>
      <c r="R26" s="49"/>
      <c r="S26" s="51">
        <v>2.5</v>
      </c>
      <c r="U26" s="47">
        <f t="shared" si="0"/>
        <v>1238</v>
      </c>
      <c r="V26" s="31">
        <f t="shared" si="1"/>
        <v>3.0290791599353795</v>
      </c>
      <c r="W26" s="31">
        <f t="shared" si="2"/>
        <v>1105.6138933764134</v>
      </c>
      <c r="X26" s="31">
        <f t="shared" si="3"/>
        <v>1.3820173667205169</v>
      </c>
      <c r="Y26" s="31"/>
      <c r="Z26" s="31"/>
      <c r="AA26" s="77">
        <f t="shared" si="4"/>
        <v>42552</v>
      </c>
      <c r="AB26" s="77">
        <f t="shared" si="5"/>
        <v>42735</v>
      </c>
      <c r="AC26" s="52">
        <v>37</v>
      </c>
      <c r="AD26" s="47">
        <f t="shared" si="6"/>
        <v>184</v>
      </c>
      <c r="AE26" s="47">
        <f t="shared" si="7"/>
        <v>0</v>
      </c>
      <c r="AF26" s="47">
        <f t="shared" si="8"/>
        <v>0</v>
      </c>
      <c r="AG26" s="47">
        <f t="shared" si="9"/>
        <v>0</v>
      </c>
      <c r="AH26" s="47">
        <f t="shared" si="10"/>
        <v>0</v>
      </c>
      <c r="AI26" s="23">
        <f t="shared" si="11"/>
        <v>1</v>
      </c>
      <c r="AJ26" s="23">
        <f t="shared" si="12"/>
        <v>1.3820173667205169</v>
      </c>
      <c r="AK26" s="23">
        <f t="shared" si="13"/>
        <v>51.134642568659125</v>
      </c>
      <c r="AL26" s="23">
        <f t="shared" si="14"/>
        <v>127.83660642164782</v>
      </c>
      <c r="AM26" s="23">
        <f t="shared" si="15"/>
        <v>0</v>
      </c>
      <c r="AN26" s="23">
        <f t="shared" si="16"/>
        <v>127.83660642164782</v>
      </c>
      <c r="AO26" s="23"/>
      <c r="AP26" s="23"/>
      <c r="AQ26" s="32">
        <f t="shared" si="17"/>
        <v>42736</v>
      </c>
      <c r="AR26" s="32">
        <f t="shared" si="18"/>
        <v>42916</v>
      </c>
      <c r="AS26" s="52">
        <v>37</v>
      </c>
      <c r="AT26" s="47">
        <f t="shared" si="19"/>
        <v>181</v>
      </c>
      <c r="AU26" s="47">
        <f t="shared" si="20"/>
        <v>0</v>
      </c>
      <c r="AV26" s="47">
        <f t="shared" si="21"/>
        <v>0</v>
      </c>
      <c r="AW26" s="47">
        <f t="shared" si="22"/>
        <v>0</v>
      </c>
      <c r="AX26" s="47">
        <f t="shared" si="23"/>
        <v>0</v>
      </c>
      <c r="AY26" s="23">
        <f t="shared" si="24"/>
        <v>1</v>
      </c>
      <c r="AZ26" s="23">
        <f t="shared" si="25"/>
        <v>1.3820173667205169</v>
      </c>
      <c r="BA26" s="23">
        <f t="shared" si="26"/>
        <v>51.134642568659125</v>
      </c>
      <c r="BB26" s="23">
        <f t="shared" si="27"/>
        <v>127.83660642164782</v>
      </c>
      <c r="BC26" s="23">
        <f t="shared" si="28"/>
        <v>0</v>
      </c>
      <c r="BD26" s="23">
        <f t="shared" si="29"/>
        <v>127.83660642164782</v>
      </c>
    </row>
    <row r="27" spans="1:56" s="47" customFormat="1">
      <c r="A27" s="47" t="s">
        <v>20</v>
      </c>
      <c r="B27" s="47" t="s">
        <v>44</v>
      </c>
      <c r="C27" s="47" t="s">
        <v>22</v>
      </c>
      <c r="D27" s="47" t="s">
        <v>45</v>
      </c>
      <c r="E27" s="51" t="s">
        <v>107</v>
      </c>
      <c r="F27" s="51" t="s">
        <v>108</v>
      </c>
      <c r="G27" s="51" t="s">
        <v>109</v>
      </c>
      <c r="H27" s="47" t="s">
        <v>179</v>
      </c>
      <c r="I27" s="47" t="s">
        <v>125</v>
      </c>
      <c r="J27" s="51" t="s">
        <v>112</v>
      </c>
      <c r="K27" s="51" t="s">
        <v>112</v>
      </c>
      <c r="L27" s="51" t="s">
        <v>112</v>
      </c>
      <c r="M27" s="47">
        <v>2016292</v>
      </c>
      <c r="N27" s="52" t="s">
        <v>844</v>
      </c>
      <c r="O27" s="55">
        <f>DATE(2015,3,9)</f>
        <v>42072</v>
      </c>
      <c r="P27" s="55">
        <f>DATE(2018,6,30)</f>
        <v>43281</v>
      </c>
      <c r="Q27" s="51">
        <v>3955</v>
      </c>
      <c r="R27" s="49"/>
      <c r="S27" s="51">
        <v>2</v>
      </c>
      <c r="U27" s="47">
        <f t="shared" si="0"/>
        <v>1210</v>
      </c>
      <c r="V27" s="31">
        <f t="shared" si="1"/>
        <v>3.2685950413223139</v>
      </c>
      <c r="W27" s="31">
        <f t="shared" si="2"/>
        <v>1193.0371900826447</v>
      </c>
      <c r="X27" s="31">
        <f t="shared" si="3"/>
        <v>1.4912964876033059</v>
      </c>
      <c r="Y27" s="31"/>
      <c r="Z27" s="31"/>
      <c r="AA27" s="77">
        <f t="shared" si="4"/>
        <v>42552</v>
      </c>
      <c r="AB27" s="77">
        <f t="shared" si="5"/>
        <v>42735</v>
      </c>
      <c r="AC27" s="52">
        <v>22</v>
      </c>
      <c r="AD27" s="47">
        <f t="shared" si="6"/>
        <v>184</v>
      </c>
      <c r="AE27" s="47">
        <f t="shared" si="7"/>
        <v>0</v>
      </c>
      <c r="AF27" s="47">
        <f t="shared" si="8"/>
        <v>0</v>
      </c>
      <c r="AG27" s="47">
        <f t="shared" si="9"/>
        <v>0</v>
      </c>
      <c r="AH27" s="47">
        <f t="shared" si="10"/>
        <v>0</v>
      </c>
      <c r="AI27" s="23">
        <f t="shared" si="11"/>
        <v>1</v>
      </c>
      <c r="AJ27" s="23">
        <f t="shared" si="12"/>
        <v>1.4912964876033059</v>
      </c>
      <c r="AK27" s="23">
        <f t="shared" si="13"/>
        <v>32.808522727272731</v>
      </c>
      <c r="AL27" s="23">
        <f t="shared" si="14"/>
        <v>65.617045454545462</v>
      </c>
      <c r="AM27" s="23">
        <f t="shared" si="15"/>
        <v>0</v>
      </c>
      <c r="AN27" s="23">
        <f t="shared" si="16"/>
        <v>65.617045454545462</v>
      </c>
      <c r="AO27" s="23"/>
      <c r="AP27" s="23"/>
      <c r="AQ27" s="32">
        <f t="shared" si="17"/>
        <v>42736</v>
      </c>
      <c r="AR27" s="32">
        <f t="shared" si="18"/>
        <v>42916</v>
      </c>
      <c r="AS27" s="52">
        <v>22</v>
      </c>
      <c r="AT27" s="47">
        <f t="shared" si="19"/>
        <v>181</v>
      </c>
      <c r="AU27" s="47">
        <f t="shared" si="20"/>
        <v>0</v>
      </c>
      <c r="AV27" s="47">
        <f t="shared" si="21"/>
        <v>0</v>
      </c>
      <c r="AW27" s="47">
        <f t="shared" si="22"/>
        <v>0</v>
      </c>
      <c r="AX27" s="47">
        <f t="shared" si="23"/>
        <v>0</v>
      </c>
      <c r="AY27" s="23">
        <f t="shared" si="24"/>
        <v>1</v>
      </c>
      <c r="AZ27" s="23">
        <f t="shared" si="25"/>
        <v>1.4912964876033059</v>
      </c>
      <c r="BA27" s="23">
        <f t="shared" si="26"/>
        <v>32.808522727272731</v>
      </c>
      <c r="BB27" s="23">
        <f t="shared" si="27"/>
        <v>65.617045454545462</v>
      </c>
      <c r="BC27" s="23">
        <f t="shared" si="28"/>
        <v>0</v>
      </c>
      <c r="BD27" s="23">
        <f t="shared" si="29"/>
        <v>65.617045454545462</v>
      </c>
    </row>
    <row r="28" spans="1:56" s="47" customFormat="1">
      <c r="A28" s="47" t="s">
        <v>20</v>
      </c>
      <c r="B28" s="47" t="s">
        <v>44</v>
      </c>
      <c r="C28" s="47" t="s">
        <v>22</v>
      </c>
      <c r="D28" s="47" t="s">
        <v>45</v>
      </c>
      <c r="E28" s="51" t="s">
        <v>107</v>
      </c>
      <c r="F28" s="51" t="s">
        <v>108</v>
      </c>
      <c r="G28" s="51" t="s">
        <v>109</v>
      </c>
      <c r="H28" s="47" t="s">
        <v>110</v>
      </c>
      <c r="I28" s="47" t="s">
        <v>111</v>
      </c>
      <c r="J28" s="51" t="s">
        <v>112</v>
      </c>
      <c r="K28" s="51" t="s">
        <v>112</v>
      </c>
      <c r="L28" s="51" t="s">
        <v>112</v>
      </c>
      <c r="M28" s="47">
        <v>2016306</v>
      </c>
      <c r="N28" s="52" t="s">
        <v>845</v>
      </c>
      <c r="O28" s="55">
        <f>DATE(2015,3,9)</f>
        <v>42072</v>
      </c>
      <c r="P28" s="55">
        <f>DATE(2018,6,30)</f>
        <v>43281</v>
      </c>
      <c r="Q28" s="51">
        <v>3290</v>
      </c>
      <c r="R28" s="49"/>
      <c r="S28" s="51">
        <v>2</v>
      </c>
      <c r="U28" s="47">
        <f t="shared" si="0"/>
        <v>1210</v>
      </c>
      <c r="V28" s="31">
        <f t="shared" si="1"/>
        <v>2.71900826446281</v>
      </c>
      <c r="W28" s="31">
        <f t="shared" si="2"/>
        <v>992.43801652892569</v>
      </c>
      <c r="X28" s="31">
        <f t="shared" si="3"/>
        <v>1.2405475206611571</v>
      </c>
      <c r="Y28" s="31"/>
      <c r="Z28" s="31"/>
      <c r="AA28" s="77">
        <f t="shared" si="4"/>
        <v>42552</v>
      </c>
      <c r="AB28" s="77">
        <f t="shared" si="5"/>
        <v>42735</v>
      </c>
      <c r="AC28" s="52">
        <v>33</v>
      </c>
      <c r="AD28" s="47">
        <f t="shared" si="6"/>
        <v>184</v>
      </c>
      <c r="AE28" s="47">
        <f t="shared" si="7"/>
        <v>0</v>
      </c>
      <c r="AF28" s="47">
        <f t="shared" si="8"/>
        <v>0</v>
      </c>
      <c r="AG28" s="47">
        <f t="shared" si="9"/>
        <v>0</v>
      </c>
      <c r="AH28" s="47">
        <f t="shared" si="10"/>
        <v>0</v>
      </c>
      <c r="AI28" s="23">
        <f t="shared" si="11"/>
        <v>1</v>
      </c>
      <c r="AJ28" s="23">
        <f t="shared" si="12"/>
        <v>1.2405475206611571</v>
      </c>
      <c r="AK28" s="23">
        <f t="shared" si="13"/>
        <v>40.938068181818188</v>
      </c>
      <c r="AL28" s="23">
        <f t="shared" si="14"/>
        <v>81.876136363636377</v>
      </c>
      <c r="AM28" s="23">
        <f t="shared" si="15"/>
        <v>0</v>
      </c>
      <c r="AN28" s="23">
        <f t="shared" si="16"/>
        <v>81.876136363636377</v>
      </c>
      <c r="AO28" s="23"/>
      <c r="AP28" s="23"/>
      <c r="AQ28" s="32">
        <f t="shared" si="17"/>
        <v>42736</v>
      </c>
      <c r="AR28" s="32">
        <f t="shared" si="18"/>
        <v>42916</v>
      </c>
      <c r="AS28" s="52">
        <v>33</v>
      </c>
      <c r="AT28" s="47">
        <f t="shared" si="19"/>
        <v>181</v>
      </c>
      <c r="AU28" s="47">
        <f t="shared" si="20"/>
        <v>0</v>
      </c>
      <c r="AV28" s="47">
        <f t="shared" si="21"/>
        <v>0</v>
      </c>
      <c r="AW28" s="47">
        <f t="shared" si="22"/>
        <v>0</v>
      </c>
      <c r="AX28" s="47">
        <f t="shared" si="23"/>
        <v>0</v>
      </c>
      <c r="AY28" s="23">
        <f t="shared" si="24"/>
        <v>1</v>
      </c>
      <c r="AZ28" s="23">
        <f t="shared" si="25"/>
        <v>1.2405475206611571</v>
      </c>
      <c r="BA28" s="23">
        <f t="shared" si="26"/>
        <v>40.938068181818188</v>
      </c>
      <c r="BB28" s="23">
        <f t="shared" si="27"/>
        <v>81.876136363636377</v>
      </c>
      <c r="BC28" s="23">
        <f t="shared" si="28"/>
        <v>0</v>
      </c>
      <c r="BD28" s="23">
        <f t="shared" si="29"/>
        <v>81.876136363636377</v>
      </c>
    </row>
    <row r="29" spans="1:56" s="47" customFormat="1">
      <c r="A29" s="47" t="s">
        <v>20</v>
      </c>
      <c r="B29" s="47" t="s">
        <v>44</v>
      </c>
      <c r="C29" s="47" t="s">
        <v>22</v>
      </c>
      <c r="D29" s="47" t="s">
        <v>45</v>
      </c>
      <c r="E29" s="51" t="s">
        <v>107</v>
      </c>
      <c r="F29" s="51" t="s">
        <v>294</v>
      </c>
      <c r="G29" s="51" t="s">
        <v>109</v>
      </c>
      <c r="H29" s="47" t="s">
        <v>297</v>
      </c>
      <c r="I29" s="47" t="s">
        <v>147</v>
      </c>
      <c r="J29" s="51" t="s">
        <v>112</v>
      </c>
      <c r="K29" s="51" t="s">
        <v>112</v>
      </c>
      <c r="L29" s="51" t="s">
        <v>112</v>
      </c>
      <c r="M29" s="47">
        <v>2016650</v>
      </c>
      <c r="N29" s="52" t="s">
        <v>846</v>
      </c>
      <c r="O29" s="55">
        <f>DATE(2015,8,3)</f>
        <v>42219</v>
      </c>
      <c r="P29" s="55">
        <f>DATE(2018,8,3)</f>
        <v>43315</v>
      </c>
      <c r="Q29" s="51">
        <v>2578</v>
      </c>
      <c r="R29" s="49"/>
      <c r="S29" s="51">
        <v>2</v>
      </c>
      <c r="U29" s="47">
        <f t="shared" si="0"/>
        <v>1097</v>
      </c>
      <c r="V29" s="31">
        <f t="shared" si="1"/>
        <v>2.3500455788514127</v>
      </c>
      <c r="W29" s="31">
        <f t="shared" si="2"/>
        <v>857.76663628076562</v>
      </c>
      <c r="X29" s="31">
        <f t="shared" si="3"/>
        <v>1.0722082953509571</v>
      </c>
      <c r="Y29" s="31"/>
      <c r="Z29" s="31"/>
      <c r="AA29" s="77">
        <f t="shared" si="4"/>
        <v>42552</v>
      </c>
      <c r="AB29" s="77">
        <f t="shared" si="5"/>
        <v>42735</v>
      </c>
      <c r="AC29" s="52">
        <v>9</v>
      </c>
      <c r="AD29" s="47">
        <f t="shared" si="6"/>
        <v>184</v>
      </c>
      <c r="AE29" s="47">
        <f t="shared" si="7"/>
        <v>0</v>
      </c>
      <c r="AF29" s="47">
        <f t="shared" si="8"/>
        <v>0</v>
      </c>
      <c r="AG29" s="47">
        <f t="shared" si="9"/>
        <v>0</v>
      </c>
      <c r="AH29" s="47">
        <f t="shared" si="10"/>
        <v>0</v>
      </c>
      <c r="AI29" s="23">
        <f t="shared" si="11"/>
        <v>1</v>
      </c>
      <c r="AJ29" s="23">
        <f t="shared" si="12"/>
        <v>1.0722082953509571</v>
      </c>
      <c r="AK29" s="23">
        <f t="shared" si="13"/>
        <v>9.6498746581586143</v>
      </c>
      <c r="AL29" s="23">
        <f t="shared" si="14"/>
        <v>19.299749316317229</v>
      </c>
      <c r="AM29" s="23">
        <f t="shared" si="15"/>
        <v>0</v>
      </c>
      <c r="AN29" s="23">
        <f t="shared" si="16"/>
        <v>19.299749316317229</v>
      </c>
      <c r="AO29" s="23"/>
      <c r="AP29" s="23"/>
      <c r="AQ29" s="32">
        <f t="shared" si="17"/>
        <v>42736</v>
      </c>
      <c r="AR29" s="32">
        <f t="shared" si="18"/>
        <v>42916</v>
      </c>
      <c r="AS29" s="52">
        <v>9</v>
      </c>
      <c r="AT29" s="47">
        <f t="shared" si="19"/>
        <v>181</v>
      </c>
      <c r="AU29" s="47">
        <f t="shared" si="20"/>
        <v>0</v>
      </c>
      <c r="AV29" s="47">
        <f t="shared" si="21"/>
        <v>0</v>
      </c>
      <c r="AW29" s="47">
        <f t="shared" si="22"/>
        <v>0</v>
      </c>
      <c r="AX29" s="47">
        <f t="shared" si="23"/>
        <v>0</v>
      </c>
      <c r="AY29" s="23">
        <f t="shared" si="24"/>
        <v>1</v>
      </c>
      <c r="AZ29" s="23">
        <f t="shared" si="25"/>
        <v>1.0722082953509571</v>
      </c>
      <c r="BA29" s="23">
        <f t="shared" si="26"/>
        <v>9.6498746581586143</v>
      </c>
      <c r="BB29" s="23">
        <f t="shared" si="27"/>
        <v>19.299749316317229</v>
      </c>
      <c r="BC29" s="23">
        <f t="shared" si="28"/>
        <v>0</v>
      </c>
      <c r="BD29" s="23">
        <f t="shared" si="29"/>
        <v>19.299749316317229</v>
      </c>
    </row>
    <row r="30" spans="1:56" s="47" customFormat="1">
      <c r="A30" s="47" t="s">
        <v>20</v>
      </c>
      <c r="B30" s="47" t="s">
        <v>44</v>
      </c>
      <c r="C30" s="47" t="s">
        <v>22</v>
      </c>
      <c r="D30" s="47" t="s">
        <v>45</v>
      </c>
      <c r="E30" s="51" t="s">
        <v>107</v>
      </c>
      <c r="F30" s="51" t="s">
        <v>294</v>
      </c>
      <c r="G30" s="51" t="s">
        <v>109</v>
      </c>
      <c r="H30" s="47" t="s">
        <v>301</v>
      </c>
      <c r="I30" s="47" t="s">
        <v>111</v>
      </c>
      <c r="J30" s="51" t="s">
        <v>112</v>
      </c>
      <c r="K30" s="51" t="s">
        <v>112</v>
      </c>
      <c r="L30" s="51" t="s">
        <v>112</v>
      </c>
      <c r="M30" s="47">
        <v>2016655</v>
      </c>
      <c r="N30" s="52" t="s">
        <v>847</v>
      </c>
      <c r="O30" s="55">
        <f>DATE(2015,8,3)</f>
        <v>42219</v>
      </c>
      <c r="P30" s="55">
        <f>DATE(2018,8,3)</f>
        <v>43315</v>
      </c>
      <c r="Q30" s="51">
        <v>2820</v>
      </c>
      <c r="R30" s="49"/>
      <c r="S30" s="51">
        <v>2</v>
      </c>
      <c r="U30" s="47">
        <f t="shared" si="0"/>
        <v>1097</v>
      </c>
      <c r="V30" s="31">
        <f t="shared" si="1"/>
        <v>2.5706472196900636</v>
      </c>
      <c r="W30" s="31">
        <f t="shared" si="2"/>
        <v>938.28623518687323</v>
      </c>
      <c r="X30" s="31">
        <f t="shared" si="3"/>
        <v>1.1728577939835916</v>
      </c>
      <c r="Y30" s="31"/>
      <c r="Z30" s="31"/>
      <c r="AA30" s="77">
        <f t="shared" si="4"/>
        <v>42552</v>
      </c>
      <c r="AB30" s="77">
        <f t="shared" si="5"/>
        <v>42735</v>
      </c>
      <c r="AC30" s="52">
        <v>32</v>
      </c>
      <c r="AD30" s="47">
        <f t="shared" si="6"/>
        <v>184</v>
      </c>
      <c r="AE30" s="47">
        <f t="shared" si="7"/>
        <v>0</v>
      </c>
      <c r="AF30" s="47">
        <f t="shared" si="8"/>
        <v>0</v>
      </c>
      <c r="AG30" s="47">
        <f t="shared" si="9"/>
        <v>0</v>
      </c>
      <c r="AH30" s="47">
        <f t="shared" si="10"/>
        <v>0</v>
      </c>
      <c r="AI30" s="23">
        <f t="shared" si="11"/>
        <v>1</v>
      </c>
      <c r="AJ30" s="23">
        <f t="shared" si="12"/>
        <v>1.1728577939835916</v>
      </c>
      <c r="AK30" s="23">
        <f t="shared" si="13"/>
        <v>37.531449407474931</v>
      </c>
      <c r="AL30" s="23">
        <f t="shared" si="14"/>
        <v>75.062898814949861</v>
      </c>
      <c r="AM30" s="23">
        <f t="shared" si="15"/>
        <v>0</v>
      </c>
      <c r="AN30" s="23">
        <f t="shared" si="16"/>
        <v>75.062898814949861</v>
      </c>
      <c r="AO30" s="23"/>
      <c r="AP30" s="23"/>
      <c r="AQ30" s="32">
        <f t="shared" si="17"/>
        <v>42736</v>
      </c>
      <c r="AR30" s="32">
        <f t="shared" si="18"/>
        <v>42916</v>
      </c>
      <c r="AS30" s="52">
        <v>32</v>
      </c>
      <c r="AT30" s="47">
        <f t="shared" si="19"/>
        <v>181</v>
      </c>
      <c r="AU30" s="47">
        <f t="shared" si="20"/>
        <v>0</v>
      </c>
      <c r="AV30" s="47">
        <f t="shared" si="21"/>
        <v>0</v>
      </c>
      <c r="AW30" s="47">
        <f t="shared" si="22"/>
        <v>0</v>
      </c>
      <c r="AX30" s="47">
        <f t="shared" si="23"/>
        <v>0</v>
      </c>
      <c r="AY30" s="23">
        <f t="shared" si="24"/>
        <v>1</v>
      </c>
      <c r="AZ30" s="23">
        <f t="shared" si="25"/>
        <v>1.1728577939835916</v>
      </c>
      <c r="BA30" s="23">
        <f t="shared" si="26"/>
        <v>37.531449407474931</v>
      </c>
      <c r="BB30" s="23">
        <f t="shared" si="27"/>
        <v>75.062898814949861</v>
      </c>
      <c r="BC30" s="23">
        <f t="shared" si="28"/>
        <v>0</v>
      </c>
      <c r="BD30" s="23">
        <f t="shared" si="29"/>
        <v>75.062898814949861</v>
      </c>
    </row>
    <row r="31" spans="1:56" s="47" customFormat="1">
      <c r="A31" s="47" t="s">
        <v>20</v>
      </c>
      <c r="B31" s="47" t="s">
        <v>44</v>
      </c>
      <c r="C31" s="47" t="s">
        <v>22</v>
      </c>
      <c r="D31" s="47" t="s">
        <v>45</v>
      </c>
      <c r="E31" s="51" t="s">
        <v>107</v>
      </c>
      <c r="F31" s="51" t="s">
        <v>108</v>
      </c>
      <c r="G31" s="51" t="s">
        <v>109</v>
      </c>
      <c r="H31" s="47" t="s">
        <v>124</v>
      </c>
      <c r="I31" s="47" t="s">
        <v>125</v>
      </c>
      <c r="J31" s="51" t="s">
        <v>112</v>
      </c>
      <c r="K31" s="51" t="s">
        <v>112</v>
      </c>
      <c r="L31" s="51" t="s">
        <v>112</v>
      </c>
      <c r="M31" s="47">
        <v>2021160</v>
      </c>
      <c r="N31" s="52" t="s">
        <v>848</v>
      </c>
      <c r="O31" s="55">
        <f>DATE(2016,3,14)</f>
        <v>42443</v>
      </c>
      <c r="P31" s="55">
        <f>DATE(2019,6,30)</f>
        <v>43646</v>
      </c>
      <c r="Q31" s="51">
        <v>3750</v>
      </c>
      <c r="R31" s="49"/>
      <c r="S31" s="51">
        <v>2.5</v>
      </c>
      <c r="U31" s="47">
        <f t="shared" si="0"/>
        <v>1204</v>
      </c>
      <c r="V31" s="31">
        <f t="shared" si="1"/>
        <v>3.1146179401993357</v>
      </c>
      <c r="W31" s="31">
        <f t="shared" si="2"/>
        <v>1136.8355481727576</v>
      </c>
      <c r="X31" s="31">
        <f t="shared" si="3"/>
        <v>1.421044435215947</v>
      </c>
      <c r="Y31" s="31"/>
      <c r="Z31" s="31"/>
      <c r="AA31" s="77">
        <f t="shared" si="4"/>
        <v>42552</v>
      </c>
      <c r="AB31" s="77">
        <f t="shared" si="5"/>
        <v>42735</v>
      </c>
      <c r="AC31" s="52">
        <v>30</v>
      </c>
      <c r="AD31" s="47">
        <f t="shared" si="6"/>
        <v>184</v>
      </c>
      <c r="AE31" s="47">
        <f t="shared" si="7"/>
        <v>0</v>
      </c>
      <c r="AF31" s="47">
        <f t="shared" si="8"/>
        <v>0</v>
      </c>
      <c r="AG31" s="47">
        <f t="shared" si="9"/>
        <v>0</v>
      </c>
      <c r="AH31" s="47">
        <f t="shared" si="10"/>
        <v>0</v>
      </c>
      <c r="AI31" s="23">
        <f t="shared" si="11"/>
        <v>1</v>
      </c>
      <c r="AJ31" s="23">
        <f t="shared" si="12"/>
        <v>1.421044435215947</v>
      </c>
      <c r="AK31" s="23">
        <f t="shared" si="13"/>
        <v>42.631333056478411</v>
      </c>
      <c r="AL31" s="23">
        <f t="shared" si="14"/>
        <v>106.57833264119603</v>
      </c>
      <c r="AM31" s="23">
        <f t="shared" si="15"/>
        <v>0</v>
      </c>
      <c r="AN31" s="23">
        <f t="shared" si="16"/>
        <v>106.57833264119603</v>
      </c>
      <c r="AO31" s="23"/>
      <c r="AP31" s="23"/>
      <c r="AQ31" s="32">
        <f t="shared" si="17"/>
        <v>42736</v>
      </c>
      <c r="AR31" s="32">
        <f t="shared" si="18"/>
        <v>42916</v>
      </c>
      <c r="AS31" s="52">
        <v>30</v>
      </c>
      <c r="AT31" s="47">
        <f t="shared" si="19"/>
        <v>181</v>
      </c>
      <c r="AU31" s="47">
        <f t="shared" si="20"/>
        <v>0</v>
      </c>
      <c r="AV31" s="47">
        <f t="shared" si="21"/>
        <v>0</v>
      </c>
      <c r="AW31" s="47">
        <f t="shared" si="22"/>
        <v>0</v>
      </c>
      <c r="AX31" s="47">
        <f t="shared" si="23"/>
        <v>0</v>
      </c>
      <c r="AY31" s="23">
        <f t="shared" si="24"/>
        <v>1</v>
      </c>
      <c r="AZ31" s="23">
        <f t="shared" si="25"/>
        <v>1.421044435215947</v>
      </c>
      <c r="BA31" s="23">
        <f t="shared" si="26"/>
        <v>42.631333056478411</v>
      </c>
      <c r="BB31" s="23">
        <f t="shared" si="27"/>
        <v>106.57833264119603</v>
      </c>
      <c r="BC31" s="23">
        <f t="shared" si="28"/>
        <v>0</v>
      </c>
      <c r="BD31" s="23">
        <f t="shared" si="29"/>
        <v>106.57833264119603</v>
      </c>
    </row>
    <row r="32" spans="1:56" s="47" customFormat="1">
      <c r="A32" s="47" t="s">
        <v>20</v>
      </c>
      <c r="B32" s="47" t="s">
        <v>44</v>
      </c>
      <c r="C32" s="47" t="s">
        <v>22</v>
      </c>
      <c r="D32" s="47" t="s">
        <v>45</v>
      </c>
      <c r="E32" s="51" t="s">
        <v>107</v>
      </c>
      <c r="F32" s="51" t="s">
        <v>108</v>
      </c>
      <c r="G32" s="51" t="s">
        <v>109</v>
      </c>
      <c r="H32" s="47" t="s">
        <v>110</v>
      </c>
      <c r="I32" s="47" t="s">
        <v>111</v>
      </c>
      <c r="J32" s="51" t="s">
        <v>112</v>
      </c>
      <c r="K32" s="51" t="s">
        <v>112</v>
      </c>
      <c r="L32" s="51" t="s">
        <v>112</v>
      </c>
      <c r="M32" s="47">
        <v>2022083</v>
      </c>
      <c r="N32" s="52" t="s">
        <v>849</v>
      </c>
      <c r="O32" s="55">
        <f>DATE(2016,3,14)</f>
        <v>42443</v>
      </c>
      <c r="P32" s="55">
        <f>DATE(2019,6,30)</f>
        <v>43646</v>
      </c>
      <c r="Q32" s="51">
        <v>3266</v>
      </c>
      <c r="R32" s="49"/>
      <c r="S32" s="51">
        <v>2</v>
      </c>
      <c r="U32" s="47">
        <f t="shared" si="0"/>
        <v>1204</v>
      </c>
      <c r="V32" s="31">
        <f t="shared" si="1"/>
        <v>2.712624584717608</v>
      </c>
      <c r="W32" s="31">
        <f t="shared" si="2"/>
        <v>990.10797342192689</v>
      </c>
      <c r="X32" s="31">
        <f t="shared" si="3"/>
        <v>1.2376349667774087</v>
      </c>
      <c r="Y32" s="31"/>
      <c r="Z32" s="31"/>
      <c r="AA32" s="77">
        <f t="shared" si="4"/>
        <v>42552</v>
      </c>
      <c r="AB32" s="77">
        <f t="shared" si="5"/>
        <v>42735</v>
      </c>
      <c r="AC32" s="52">
        <v>38</v>
      </c>
      <c r="AD32" s="47">
        <f t="shared" si="6"/>
        <v>184</v>
      </c>
      <c r="AE32" s="47">
        <f t="shared" si="7"/>
        <v>0</v>
      </c>
      <c r="AF32" s="47">
        <f t="shared" si="8"/>
        <v>0</v>
      </c>
      <c r="AG32" s="47">
        <f t="shared" si="9"/>
        <v>0</v>
      </c>
      <c r="AH32" s="47">
        <f t="shared" si="10"/>
        <v>0</v>
      </c>
      <c r="AI32" s="23">
        <f t="shared" si="11"/>
        <v>1</v>
      </c>
      <c r="AJ32" s="23">
        <f t="shared" si="12"/>
        <v>1.2376349667774087</v>
      </c>
      <c r="AK32" s="23">
        <f t="shared" si="13"/>
        <v>47.030128737541531</v>
      </c>
      <c r="AL32" s="23">
        <f t="shared" si="14"/>
        <v>94.060257475083063</v>
      </c>
      <c r="AM32" s="23">
        <f t="shared" si="15"/>
        <v>0</v>
      </c>
      <c r="AN32" s="23">
        <f t="shared" si="16"/>
        <v>94.060257475083063</v>
      </c>
      <c r="AO32" s="23"/>
      <c r="AP32" s="23"/>
      <c r="AQ32" s="32">
        <f t="shared" si="17"/>
        <v>42736</v>
      </c>
      <c r="AR32" s="32">
        <f t="shared" si="18"/>
        <v>42916</v>
      </c>
      <c r="AS32" s="52">
        <v>38</v>
      </c>
      <c r="AT32" s="47">
        <f t="shared" si="19"/>
        <v>181</v>
      </c>
      <c r="AU32" s="47">
        <f t="shared" si="20"/>
        <v>0</v>
      </c>
      <c r="AV32" s="47">
        <f t="shared" si="21"/>
        <v>0</v>
      </c>
      <c r="AW32" s="47">
        <f t="shared" si="22"/>
        <v>0</v>
      </c>
      <c r="AX32" s="47">
        <f t="shared" si="23"/>
        <v>0</v>
      </c>
      <c r="AY32" s="23">
        <f t="shared" si="24"/>
        <v>1</v>
      </c>
      <c r="AZ32" s="23">
        <f t="shared" si="25"/>
        <v>1.2376349667774087</v>
      </c>
      <c r="BA32" s="23">
        <f t="shared" si="26"/>
        <v>47.030128737541531</v>
      </c>
      <c r="BB32" s="23">
        <f t="shared" si="27"/>
        <v>94.060257475083063</v>
      </c>
      <c r="BC32" s="23">
        <f t="shared" si="28"/>
        <v>0</v>
      </c>
      <c r="BD32" s="23">
        <f t="shared" si="29"/>
        <v>94.060257475083063</v>
      </c>
    </row>
    <row r="33" spans="1:56" s="47" customFormat="1">
      <c r="A33" s="47" t="s">
        <v>20</v>
      </c>
      <c r="B33" s="47" t="s">
        <v>44</v>
      </c>
      <c r="C33" s="47" t="s">
        <v>22</v>
      </c>
      <c r="D33" s="47" t="s">
        <v>45</v>
      </c>
      <c r="E33" s="51" t="s">
        <v>107</v>
      </c>
      <c r="F33" s="51" t="s">
        <v>294</v>
      </c>
      <c r="G33" s="51" t="s">
        <v>109</v>
      </c>
      <c r="H33" s="47" t="s">
        <v>297</v>
      </c>
      <c r="I33" s="47" t="s">
        <v>147</v>
      </c>
      <c r="J33" s="51" t="s">
        <v>112</v>
      </c>
      <c r="K33" s="51" t="s">
        <v>112</v>
      </c>
      <c r="L33" s="51" t="s">
        <v>112</v>
      </c>
      <c r="M33" s="47">
        <v>2096316</v>
      </c>
      <c r="N33" s="52" t="s">
        <v>850</v>
      </c>
      <c r="O33" s="55">
        <f>DATE(2016,3,14)</f>
        <v>42443</v>
      </c>
      <c r="P33" s="55">
        <f>DATE(2018,12,31)</f>
        <v>43465</v>
      </c>
      <c r="Q33" s="51">
        <v>2578</v>
      </c>
      <c r="R33" s="49"/>
      <c r="S33" s="51">
        <v>2</v>
      </c>
      <c r="U33" s="47">
        <f t="shared" si="0"/>
        <v>1023</v>
      </c>
      <c r="V33" s="31">
        <f t="shared" si="1"/>
        <v>2.520039100684262</v>
      </c>
      <c r="W33" s="31">
        <f t="shared" si="2"/>
        <v>919.81427174975556</v>
      </c>
      <c r="X33" s="31">
        <f t="shared" si="3"/>
        <v>1.1497678396871944</v>
      </c>
      <c r="Y33" s="31"/>
      <c r="Z33" s="31"/>
      <c r="AA33" s="77">
        <f t="shared" si="4"/>
        <v>42552</v>
      </c>
      <c r="AB33" s="77">
        <f t="shared" si="5"/>
        <v>42735</v>
      </c>
      <c r="AC33" s="52">
        <v>30</v>
      </c>
      <c r="AD33" s="47">
        <f t="shared" si="6"/>
        <v>184</v>
      </c>
      <c r="AE33" s="47">
        <f t="shared" si="7"/>
        <v>0</v>
      </c>
      <c r="AF33" s="47">
        <f t="shared" si="8"/>
        <v>0</v>
      </c>
      <c r="AG33" s="47">
        <f t="shared" si="9"/>
        <v>0</v>
      </c>
      <c r="AH33" s="47">
        <f t="shared" si="10"/>
        <v>0</v>
      </c>
      <c r="AI33" s="23">
        <f t="shared" si="11"/>
        <v>1</v>
      </c>
      <c r="AJ33" s="23">
        <f t="shared" si="12"/>
        <v>1.1497678396871944</v>
      </c>
      <c r="AK33" s="23">
        <f t="shared" si="13"/>
        <v>34.493035190615835</v>
      </c>
      <c r="AL33" s="23">
        <f t="shared" si="14"/>
        <v>68.98607038123167</v>
      </c>
      <c r="AM33" s="23">
        <f t="shared" si="15"/>
        <v>0</v>
      </c>
      <c r="AN33" s="23">
        <f t="shared" si="16"/>
        <v>68.98607038123167</v>
      </c>
      <c r="AO33" s="23"/>
      <c r="AP33" s="23"/>
      <c r="AQ33" s="32">
        <f t="shared" si="17"/>
        <v>42736</v>
      </c>
      <c r="AR33" s="32">
        <f t="shared" si="18"/>
        <v>42916</v>
      </c>
      <c r="AS33" s="52">
        <v>30</v>
      </c>
      <c r="AT33" s="47">
        <f t="shared" si="19"/>
        <v>181</v>
      </c>
      <c r="AU33" s="47">
        <f t="shared" si="20"/>
        <v>0</v>
      </c>
      <c r="AV33" s="47">
        <f t="shared" si="21"/>
        <v>0</v>
      </c>
      <c r="AW33" s="47">
        <f t="shared" si="22"/>
        <v>0</v>
      </c>
      <c r="AX33" s="47">
        <f t="shared" si="23"/>
        <v>0</v>
      </c>
      <c r="AY33" s="23">
        <f t="shared" si="24"/>
        <v>1</v>
      </c>
      <c r="AZ33" s="23">
        <f t="shared" si="25"/>
        <v>1.1497678396871944</v>
      </c>
      <c r="BA33" s="23">
        <f t="shared" si="26"/>
        <v>34.493035190615835</v>
      </c>
      <c r="BB33" s="23">
        <f t="shared" si="27"/>
        <v>68.98607038123167</v>
      </c>
      <c r="BC33" s="23">
        <f t="shared" si="28"/>
        <v>0</v>
      </c>
      <c r="BD33" s="23">
        <f t="shared" si="29"/>
        <v>68.98607038123167</v>
      </c>
    </row>
    <row r="34" spans="1:56" s="47" customFormat="1">
      <c r="A34" s="47" t="s">
        <v>20</v>
      </c>
      <c r="B34" s="47" t="s">
        <v>44</v>
      </c>
      <c r="C34" s="47" t="s">
        <v>22</v>
      </c>
      <c r="D34" s="47" t="s">
        <v>45</v>
      </c>
      <c r="E34" s="51" t="s">
        <v>107</v>
      </c>
      <c r="F34" s="51" t="s">
        <v>294</v>
      </c>
      <c r="G34" s="51" t="s">
        <v>109</v>
      </c>
      <c r="H34" s="47" t="s">
        <v>301</v>
      </c>
      <c r="I34" s="47" t="s">
        <v>111</v>
      </c>
      <c r="J34" s="51" t="s">
        <v>112</v>
      </c>
      <c r="K34" s="51" t="s">
        <v>112</v>
      </c>
      <c r="L34" s="51" t="s">
        <v>112</v>
      </c>
      <c r="M34" s="47">
        <v>2096330</v>
      </c>
      <c r="N34" s="52" t="s">
        <v>851</v>
      </c>
      <c r="O34" s="55">
        <f>DATE(2016,3,14)</f>
        <v>42443</v>
      </c>
      <c r="P34" s="55">
        <f>DATE(2018,12,31)</f>
        <v>43465</v>
      </c>
      <c r="Q34" s="51">
        <v>2820</v>
      </c>
      <c r="R34" s="49"/>
      <c r="S34" s="51">
        <v>2</v>
      </c>
      <c r="U34" s="47">
        <f t="shared" si="0"/>
        <v>1023</v>
      </c>
      <c r="V34" s="31">
        <f t="shared" si="1"/>
        <v>2.7565982404692084</v>
      </c>
      <c r="W34" s="31">
        <f t="shared" si="2"/>
        <v>1006.1583577712611</v>
      </c>
      <c r="X34" s="31">
        <f t="shared" si="3"/>
        <v>1.2576979472140764</v>
      </c>
      <c r="Y34" s="31"/>
      <c r="Z34" s="31"/>
      <c r="AA34" s="77">
        <f t="shared" si="4"/>
        <v>42552</v>
      </c>
      <c r="AB34" s="77">
        <f t="shared" si="5"/>
        <v>42735</v>
      </c>
      <c r="AC34" s="52">
        <v>25</v>
      </c>
      <c r="AD34" s="47">
        <f t="shared" si="6"/>
        <v>184</v>
      </c>
      <c r="AE34" s="47">
        <f t="shared" si="7"/>
        <v>0</v>
      </c>
      <c r="AF34" s="47">
        <f t="shared" si="8"/>
        <v>0</v>
      </c>
      <c r="AG34" s="47">
        <f t="shared" si="9"/>
        <v>0</v>
      </c>
      <c r="AH34" s="47">
        <f t="shared" si="10"/>
        <v>0</v>
      </c>
      <c r="AI34" s="23">
        <f t="shared" si="11"/>
        <v>1</v>
      </c>
      <c r="AJ34" s="23">
        <f t="shared" si="12"/>
        <v>1.2576979472140764</v>
      </c>
      <c r="AK34" s="23">
        <f t="shared" si="13"/>
        <v>31.442448680351909</v>
      </c>
      <c r="AL34" s="23">
        <f t="shared" si="14"/>
        <v>62.884897360703818</v>
      </c>
      <c r="AM34" s="23">
        <f t="shared" si="15"/>
        <v>0</v>
      </c>
      <c r="AN34" s="23">
        <f t="shared" si="16"/>
        <v>62.884897360703818</v>
      </c>
      <c r="AO34" s="23"/>
      <c r="AP34" s="23"/>
      <c r="AQ34" s="32">
        <f t="shared" si="17"/>
        <v>42736</v>
      </c>
      <c r="AR34" s="32">
        <f t="shared" si="18"/>
        <v>42916</v>
      </c>
      <c r="AS34" s="52">
        <v>25</v>
      </c>
      <c r="AT34" s="47">
        <f t="shared" si="19"/>
        <v>181</v>
      </c>
      <c r="AU34" s="47">
        <f t="shared" si="20"/>
        <v>0</v>
      </c>
      <c r="AV34" s="47">
        <f t="shared" si="21"/>
        <v>0</v>
      </c>
      <c r="AW34" s="47">
        <f t="shared" si="22"/>
        <v>0</v>
      </c>
      <c r="AX34" s="47">
        <f t="shared" si="23"/>
        <v>0</v>
      </c>
      <c r="AY34" s="23">
        <f t="shared" si="24"/>
        <v>1</v>
      </c>
      <c r="AZ34" s="23">
        <f t="shared" si="25"/>
        <v>1.2576979472140764</v>
      </c>
      <c r="BA34" s="23">
        <f t="shared" si="26"/>
        <v>31.442448680351909</v>
      </c>
      <c r="BB34" s="23">
        <f t="shared" si="27"/>
        <v>62.884897360703818</v>
      </c>
      <c r="BC34" s="23">
        <f t="shared" si="28"/>
        <v>0</v>
      </c>
      <c r="BD34" s="23">
        <f t="shared" si="29"/>
        <v>62.884897360703818</v>
      </c>
    </row>
    <row r="35" spans="1:56" s="47" customFormat="1">
      <c r="A35" s="47" t="s">
        <v>20</v>
      </c>
      <c r="B35" s="47" t="s">
        <v>44</v>
      </c>
      <c r="C35" s="47" t="s">
        <v>22</v>
      </c>
      <c r="D35" s="47" t="s">
        <v>45</v>
      </c>
      <c r="E35" s="51" t="s">
        <v>107</v>
      </c>
      <c r="F35" s="51" t="s">
        <v>108</v>
      </c>
      <c r="G35" s="51" t="s">
        <v>109</v>
      </c>
      <c r="H35" s="47" t="s">
        <v>179</v>
      </c>
      <c r="I35" s="47" t="s">
        <v>125</v>
      </c>
      <c r="J35" s="51" t="s">
        <v>112</v>
      </c>
      <c r="K35" s="51" t="s">
        <v>112</v>
      </c>
      <c r="L35" s="51" t="s">
        <v>112</v>
      </c>
      <c r="M35" s="47">
        <v>2096349</v>
      </c>
      <c r="N35" s="52" t="s">
        <v>852</v>
      </c>
      <c r="O35" s="55">
        <f>DATE(2016,3,14)</f>
        <v>42443</v>
      </c>
      <c r="P35" s="55">
        <f>DATE(2019,6,30)</f>
        <v>43646</v>
      </c>
      <c r="Q35" s="51">
        <v>3955</v>
      </c>
      <c r="R35" s="49"/>
      <c r="S35" s="51">
        <v>2</v>
      </c>
      <c r="U35" s="47">
        <f t="shared" si="0"/>
        <v>1204</v>
      </c>
      <c r="V35" s="31">
        <f t="shared" si="1"/>
        <v>3.2848837209302326</v>
      </c>
      <c r="W35" s="31">
        <f t="shared" si="2"/>
        <v>1198.9825581395348</v>
      </c>
      <c r="X35" s="31">
        <f t="shared" si="3"/>
        <v>1.4987281976744184</v>
      </c>
      <c r="Y35" s="31"/>
      <c r="Z35" s="31"/>
      <c r="AA35" s="77">
        <f t="shared" si="4"/>
        <v>42552</v>
      </c>
      <c r="AB35" s="77">
        <f t="shared" si="5"/>
        <v>42735</v>
      </c>
      <c r="AC35" s="52">
        <v>15</v>
      </c>
      <c r="AD35" s="47">
        <f t="shared" si="6"/>
        <v>184</v>
      </c>
      <c r="AE35" s="47">
        <f t="shared" si="7"/>
        <v>0</v>
      </c>
      <c r="AF35" s="47">
        <f t="shared" si="8"/>
        <v>0</v>
      </c>
      <c r="AG35" s="47">
        <f t="shared" si="9"/>
        <v>0</v>
      </c>
      <c r="AH35" s="47">
        <f t="shared" si="10"/>
        <v>0</v>
      </c>
      <c r="AI35" s="23">
        <f t="shared" si="11"/>
        <v>1</v>
      </c>
      <c r="AJ35" s="23">
        <f t="shared" si="12"/>
        <v>1.4987281976744184</v>
      </c>
      <c r="AK35" s="23">
        <f t="shared" si="13"/>
        <v>22.480922965116278</v>
      </c>
      <c r="AL35" s="23">
        <f t="shared" si="14"/>
        <v>44.961845930232556</v>
      </c>
      <c r="AM35" s="23">
        <f t="shared" si="15"/>
        <v>0</v>
      </c>
      <c r="AN35" s="23">
        <f t="shared" si="16"/>
        <v>44.961845930232556</v>
      </c>
      <c r="AO35" s="23"/>
      <c r="AP35" s="23"/>
      <c r="AQ35" s="32">
        <f t="shared" si="17"/>
        <v>42736</v>
      </c>
      <c r="AR35" s="32">
        <f t="shared" si="18"/>
        <v>42916</v>
      </c>
      <c r="AS35" s="52">
        <v>15</v>
      </c>
      <c r="AT35" s="47">
        <f t="shared" si="19"/>
        <v>181</v>
      </c>
      <c r="AU35" s="47">
        <f t="shared" si="20"/>
        <v>0</v>
      </c>
      <c r="AV35" s="47">
        <f t="shared" si="21"/>
        <v>0</v>
      </c>
      <c r="AW35" s="47">
        <f t="shared" si="22"/>
        <v>0</v>
      </c>
      <c r="AX35" s="47">
        <f t="shared" si="23"/>
        <v>0</v>
      </c>
      <c r="AY35" s="23">
        <f t="shared" si="24"/>
        <v>1</v>
      </c>
      <c r="AZ35" s="23">
        <f t="shared" si="25"/>
        <v>1.4987281976744184</v>
      </c>
      <c r="BA35" s="23">
        <f t="shared" si="26"/>
        <v>22.480922965116278</v>
      </c>
      <c r="BB35" s="23">
        <f t="shared" si="27"/>
        <v>44.961845930232556</v>
      </c>
      <c r="BC35" s="23">
        <f t="shared" si="28"/>
        <v>0</v>
      </c>
      <c r="BD35" s="23">
        <f t="shared" si="29"/>
        <v>44.961845930232556</v>
      </c>
    </row>
    <row r="36" spans="1:56" s="47" customFormat="1">
      <c r="A36" s="47" t="s">
        <v>20</v>
      </c>
      <c r="B36" s="47" t="s">
        <v>44</v>
      </c>
      <c r="C36" s="47" t="s">
        <v>22</v>
      </c>
      <c r="D36" s="47" t="s">
        <v>45</v>
      </c>
      <c r="E36" s="51" t="s">
        <v>107</v>
      </c>
      <c r="F36" s="51" t="s">
        <v>108</v>
      </c>
      <c r="G36" s="51" t="s">
        <v>109</v>
      </c>
      <c r="H36" s="47" t="s">
        <v>124</v>
      </c>
      <c r="I36" s="47" t="s">
        <v>125</v>
      </c>
      <c r="J36" s="51" t="s">
        <v>112</v>
      </c>
      <c r="K36" s="51" t="s">
        <v>112</v>
      </c>
      <c r="L36" s="51" t="s">
        <v>112</v>
      </c>
      <c r="M36" s="47">
        <v>2149364</v>
      </c>
      <c r="N36" s="52" t="s">
        <v>853</v>
      </c>
      <c r="O36" s="55">
        <f>DATE(2017,2,15)</f>
        <v>42781</v>
      </c>
      <c r="P36" s="55">
        <f>DATE(2020,6,30)</f>
        <v>44012</v>
      </c>
      <c r="Q36" s="51">
        <v>3750</v>
      </c>
      <c r="R36" s="49"/>
      <c r="S36" s="51">
        <v>2.5</v>
      </c>
      <c r="U36" s="47">
        <f t="shared" si="0"/>
        <v>1232</v>
      </c>
      <c r="V36" s="31">
        <f t="shared" si="1"/>
        <v>3.043831168831169</v>
      </c>
      <c r="W36" s="31">
        <f t="shared" si="2"/>
        <v>1110.9983766233768</v>
      </c>
      <c r="X36" s="31">
        <f t="shared" si="3"/>
        <v>1.388747970779221</v>
      </c>
      <c r="Y36" s="31"/>
      <c r="Z36" s="31"/>
      <c r="AA36" s="77">
        <f t="shared" si="4"/>
        <v>42552</v>
      </c>
      <c r="AB36" s="77">
        <f t="shared" si="5"/>
        <v>42735</v>
      </c>
      <c r="AC36" s="49">
        <v>0</v>
      </c>
      <c r="AD36" s="47">
        <f t="shared" si="6"/>
        <v>0</v>
      </c>
      <c r="AE36" s="47">
        <f t="shared" si="7"/>
        <v>0</v>
      </c>
      <c r="AF36" s="47">
        <f t="shared" si="8"/>
        <v>0</v>
      </c>
      <c r="AG36" s="47">
        <f t="shared" si="9"/>
        <v>0</v>
      </c>
      <c r="AH36" s="47">
        <f t="shared" si="10"/>
        <v>0</v>
      </c>
      <c r="AI36" s="23">
        <f t="shared" si="11"/>
        <v>0</v>
      </c>
      <c r="AJ36" s="23">
        <f t="shared" si="12"/>
        <v>0</v>
      </c>
      <c r="AK36" s="23">
        <f t="shared" si="13"/>
        <v>0</v>
      </c>
      <c r="AL36" s="23">
        <f t="shared" si="14"/>
        <v>0</v>
      </c>
      <c r="AM36" s="23">
        <f t="shared" si="15"/>
        <v>0</v>
      </c>
      <c r="AN36" s="23">
        <f t="shared" si="16"/>
        <v>0</v>
      </c>
      <c r="AO36" s="23"/>
      <c r="AP36" s="23"/>
      <c r="AQ36" s="32">
        <f t="shared" si="17"/>
        <v>42736</v>
      </c>
      <c r="AR36" s="32">
        <f t="shared" si="18"/>
        <v>42916</v>
      </c>
      <c r="AS36" s="52">
        <v>40</v>
      </c>
      <c r="AT36" s="47">
        <f t="shared" si="19"/>
        <v>0</v>
      </c>
      <c r="AU36" s="47">
        <f t="shared" si="20"/>
        <v>136</v>
      </c>
      <c r="AV36" s="47">
        <f t="shared" si="21"/>
        <v>0</v>
      </c>
      <c r="AW36" s="47">
        <f t="shared" si="22"/>
        <v>0</v>
      </c>
      <c r="AX36" s="47">
        <f t="shared" si="23"/>
        <v>0</v>
      </c>
      <c r="AY36" s="23">
        <f t="shared" si="24"/>
        <v>0.75138121546961323</v>
      </c>
      <c r="AZ36" s="23">
        <f t="shared" si="25"/>
        <v>1.0434791382650499</v>
      </c>
      <c r="BA36" s="23">
        <f t="shared" si="26"/>
        <v>41.739165530601994</v>
      </c>
      <c r="BB36" s="23">
        <f t="shared" si="27"/>
        <v>104.34791382650499</v>
      </c>
      <c r="BC36" s="23">
        <f t="shared" si="28"/>
        <v>0</v>
      </c>
      <c r="BD36" s="23">
        <f t="shared" si="29"/>
        <v>104.34791382650499</v>
      </c>
    </row>
    <row r="37" spans="1:56" s="47" customFormat="1">
      <c r="A37" s="47" t="s">
        <v>20</v>
      </c>
      <c r="B37" s="47" t="s">
        <v>44</v>
      </c>
      <c r="C37" s="47" t="s">
        <v>22</v>
      </c>
      <c r="D37" s="47" t="s">
        <v>45</v>
      </c>
      <c r="E37" s="51" t="s">
        <v>107</v>
      </c>
      <c r="F37" s="51" t="s">
        <v>108</v>
      </c>
      <c r="G37" s="51" t="s">
        <v>109</v>
      </c>
      <c r="H37" s="47" t="s">
        <v>110</v>
      </c>
      <c r="I37" s="47" t="s">
        <v>111</v>
      </c>
      <c r="J37" s="51" t="s">
        <v>112</v>
      </c>
      <c r="K37" s="51" t="s">
        <v>112</v>
      </c>
      <c r="L37" s="51" t="s">
        <v>112</v>
      </c>
      <c r="M37" s="47">
        <v>2149423</v>
      </c>
      <c r="N37" s="52" t="s">
        <v>854</v>
      </c>
      <c r="O37" s="55">
        <f>DATE(2017,2,15)</f>
        <v>42781</v>
      </c>
      <c r="P37" s="55">
        <f>DATE(2020,6,30)</f>
        <v>44012</v>
      </c>
      <c r="Q37" s="51">
        <v>3259</v>
      </c>
      <c r="R37" s="49"/>
      <c r="S37" s="51">
        <v>2</v>
      </c>
      <c r="U37" s="47">
        <f t="shared" si="0"/>
        <v>1232</v>
      </c>
      <c r="V37" s="31">
        <f t="shared" si="1"/>
        <v>2.6452922077922079</v>
      </c>
      <c r="W37" s="31">
        <f t="shared" si="2"/>
        <v>965.53165584415592</v>
      </c>
      <c r="X37" s="31">
        <f t="shared" si="3"/>
        <v>1.2069145698051948</v>
      </c>
      <c r="Y37" s="31"/>
      <c r="Z37" s="31"/>
      <c r="AA37" s="77">
        <f t="shared" si="4"/>
        <v>42552</v>
      </c>
      <c r="AB37" s="77">
        <f t="shared" si="5"/>
        <v>42735</v>
      </c>
      <c r="AC37" s="49">
        <v>0</v>
      </c>
      <c r="AD37" s="47">
        <f t="shared" si="6"/>
        <v>0</v>
      </c>
      <c r="AE37" s="47">
        <f t="shared" si="7"/>
        <v>0</v>
      </c>
      <c r="AF37" s="47">
        <f t="shared" si="8"/>
        <v>0</v>
      </c>
      <c r="AG37" s="47">
        <f t="shared" si="9"/>
        <v>0</v>
      </c>
      <c r="AH37" s="47">
        <f t="shared" si="10"/>
        <v>0</v>
      </c>
      <c r="AI37" s="23">
        <f t="shared" si="11"/>
        <v>0</v>
      </c>
      <c r="AJ37" s="23">
        <f t="shared" si="12"/>
        <v>0</v>
      </c>
      <c r="AK37" s="23">
        <f t="shared" si="13"/>
        <v>0</v>
      </c>
      <c r="AL37" s="23">
        <f t="shared" si="14"/>
        <v>0</v>
      </c>
      <c r="AM37" s="23">
        <f t="shared" si="15"/>
        <v>0</v>
      </c>
      <c r="AN37" s="23">
        <f t="shared" si="16"/>
        <v>0</v>
      </c>
      <c r="AO37" s="23"/>
      <c r="AP37" s="23"/>
      <c r="AQ37" s="32">
        <f t="shared" si="17"/>
        <v>42736</v>
      </c>
      <c r="AR37" s="32">
        <f t="shared" si="18"/>
        <v>42916</v>
      </c>
      <c r="AS37" s="52">
        <v>39</v>
      </c>
      <c r="AT37" s="47">
        <f t="shared" si="19"/>
        <v>0</v>
      </c>
      <c r="AU37" s="47">
        <f t="shared" si="20"/>
        <v>136</v>
      </c>
      <c r="AV37" s="47">
        <f t="shared" si="21"/>
        <v>0</v>
      </c>
      <c r="AW37" s="47">
        <f t="shared" si="22"/>
        <v>0</v>
      </c>
      <c r="AX37" s="47">
        <f t="shared" si="23"/>
        <v>0</v>
      </c>
      <c r="AY37" s="23">
        <f t="shared" si="24"/>
        <v>0.75138121546961323</v>
      </c>
      <c r="AZ37" s="23">
        <f t="shared" si="25"/>
        <v>0.90685293642821263</v>
      </c>
      <c r="BA37" s="23">
        <f t="shared" si="26"/>
        <v>35.367264520700296</v>
      </c>
      <c r="BB37" s="23">
        <f t="shared" si="27"/>
        <v>70.734529041400592</v>
      </c>
      <c r="BC37" s="23">
        <f t="shared" si="28"/>
        <v>0</v>
      </c>
      <c r="BD37" s="23">
        <f t="shared" si="29"/>
        <v>70.734529041400592</v>
      </c>
    </row>
    <row r="38" spans="1:56" s="47" customFormat="1">
      <c r="A38" s="47" t="s">
        <v>20</v>
      </c>
      <c r="B38" s="47" t="s">
        <v>44</v>
      </c>
      <c r="C38" s="47" t="s">
        <v>22</v>
      </c>
      <c r="D38" s="47" t="s">
        <v>45</v>
      </c>
      <c r="E38" s="51" t="s">
        <v>107</v>
      </c>
      <c r="F38" s="51" t="s">
        <v>439</v>
      </c>
      <c r="G38" s="51" t="s">
        <v>109</v>
      </c>
      <c r="H38" s="47" t="s">
        <v>575</v>
      </c>
      <c r="I38" s="47" t="s">
        <v>167</v>
      </c>
      <c r="J38" s="51" t="s">
        <v>112</v>
      </c>
      <c r="K38" s="51" t="s">
        <v>112</v>
      </c>
      <c r="L38" s="51" t="s">
        <v>112</v>
      </c>
      <c r="M38" s="47">
        <v>2149520</v>
      </c>
      <c r="N38" s="51" t="s">
        <v>855</v>
      </c>
      <c r="O38" s="55">
        <f>DATE(2017,2,13)</f>
        <v>42779</v>
      </c>
      <c r="P38" s="55">
        <f>DATE(2017,12,13)</f>
        <v>43082</v>
      </c>
      <c r="Q38" s="51">
        <v>390</v>
      </c>
      <c r="R38" s="49"/>
      <c r="S38" s="51">
        <v>1</v>
      </c>
      <c r="U38" s="47">
        <f t="shared" si="0"/>
        <v>304</v>
      </c>
      <c r="V38" s="31">
        <f t="shared" si="1"/>
        <v>1.2828947368421053</v>
      </c>
      <c r="W38" s="31">
        <f t="shared" si="2"/>
        <v>390</v>
      </c>
      <c r="X38" s="31">
        <f t="shared" si="3"/>
        <v>0.48749999999999999</v>
      </c>
      <c r="Y38" s="31"/>
      <c r="Z38" s="31"/>
      <c r="AA38" s="77">
        <f t="shared" si="4"/>
        <v>42552</v>
      </c>
      <c r="AB38" s="77">
        <f t="shared" si="5"/>
        <v>42735</v>
      </c>
      <c r="AC38" s="49">
        <v>0</v>
      </c>
      <c r="AD38" s="47">
        <f t="shared" si="6"/>
        <v>0</v>
      </c>
      <c r="AE38" s="47">
        <f t="shared" si="7"/>
        <v>0</v>
      </c>
      <c r="AF38" s="47">
        <f t="shared" si="8"/>
        <v>0</v>
      </c>
      <c r="AG38" s="47">
        <f t="shared" si="9"/>
        <v>0</v>
      </c>
      <c r="AH38" s="47">
        <f t="shared" si="10"/>
        <v>0</v>
      </c>
      <c r="AI38" s="23">
        <f t="shared" si="11"/>
        <v>0</v>
      </c>
      <c r="AJ38" s="23">
        <f t="shared" si="12"/>
        <v>0</v>
      </c>
      <c r="AK38" s="23">
        <f t="shared" si="13"/>
        <v>0</v>
      </c>
      <c r="AL38" s="23">
        <f t="shared" si="14"/>
        <v>0</v>
      </c>
      <c r="AM38" s="23">
        <f t="shared" si="15"/>
        <v>0</v>
      </c>
      <c r="AN38" s="23">
        <f t="shared" si="16"/>
        <v>0</v>
      </c>
      <c r="AO38" s="23"/>
      <c r="AP38" s="23"/>
      <c r="AQ38" s="32">
        <f t="shared" si="17"/>
        <v>42736</v>
      </c>
      <c r="AR38" s="32">
        <f t="shared" si="18"/>
        <v>42916</v>
      </c>
      <c r="AS38" s="51">
        <v>51</v>
      </c>
      <c r="AT38" s="47">
        <f t="shared" si="19"/>
        <v>0</v>
      </c>
      <c r="AU38" s="47">
        <f t="shared" si="20"/>
        <v>138</v>
      </c>
      <c r="AV38" s="47">
        <f t="shared" si="21"/>
        <v>0</v>
      </c>
      <c r="AW38" s="47">
        <f t="shared" si="22"/>
        <v>0</v>
      </c>
      <c r="AX38" s="47">
        <f t="shared" si="23"/>
        <v>0</v>
      </c>
      <c r="AY38" s="23">
        <f t="shared" si="24"/>
        <v>0.76243093922651939</v>
      </c>
      <c r="AZ38" s="23">
        <f t="shared" si="25"/>
        <v>0.37168508287292817</v>
      </c>
      <c r="BA38" s="23">
        <f t="shared" si="26"/>
        <v>18.955939226519337</v>
      </c>
      <c r="BB38" s="23">
        <f t="shared" si="27"/>
        <v>18.955939226519337</v>
      </c>
      <c r="BC38" s="23">
        <f t="shared" si="28"/>
        <v>0</v>
      </c>
      <c r="BD38" s="23">
        <f t="shared" si="29"/>
        <v>18.955939226519337</v>
      </c>
    </row>
    <row r="39" spans="1:56" s="47" customFormat="1">
      <c r="A39" s="47" t="s">
        <v>20</v>
      </c>
      <c r="B39" s="47" t="s">
        <v>44</v>
      </c>
      <c r="C39" s="47" t="s">
        <v>22</v>
      </c>
      <c r="D39" s="47" t="s">
        <v>45</v>
      </c>
      <c r="E39" s="51" t="s">
        <v>107</v>
      </c>
      <c r="F39" s="84"/>
      <c r="G39" s="51" t="s">
        <v>109</v>
      </c>
      <c r="H39" s="47" t="s">
        <v>856</v>
      </c>
      <c r="J39" s="51" t="s">
        <v>112</v>
      </c>
      <c r="K39" s="51" t="s">
        <v>112</v>
      </c>
      <c r="L39" s="51" t="s">
        <v>112</v>
      </c>
      <c r="M39" s="47">
        <v>2171734</v>
      </c>
      <c r="N39" s="51" t="s">
        <v>857</v>
      </c>
      <c r="O39" s="55">
        <f>DATE(2017,5,2)</f>
        <v>42857</v>
      </c>
      <c r="P39" s="55">
        <f>DATE(2017,7,2)</f>
        <v>42918</v>
      </c>
      <c r="Q39" s="51">
        <v>80</v>
      </c>
      <c r="R39" s="49"/>
      <c r="S39" s="51"/>
      <c r="U39" s="47">
        <f t="shared" si="0"/>
        <v>62</v>
      </c>
      <c r="V39" s="31">
        <f t="shared" si="1"/>
        <v>1.2903225806451613</v>
      </c>
      <c r="W39" s="31">
        <f t="shared" si="2"/>
        <v>80</v>
      </c>
      <c r="X39" s="31">
        <f t="shared" si="3"/>
        <v>0.1</v>
      </c>
      <c r="Y39" s="31"/>
      <c r="Z39" s="31"/>
      <c r="AA39" s="77">
        <f t="shared" si="4"/>
        <v>42552</v>
      </c>
      <c r="AB39" s="77">
        <f t="shared" si="5"/>
        <v>42735</v>
      </c>
      <c r="AC39" s="49">
        <v>0</v>
      </c>
      <c r="AD39" s="47">
        <f t="shared" si="6"/>
        <v>0</v>
      </c>
      <c r="AE39" s="47">
        <f t="shared" si="7"/>
        <v>0</v>
      </c>
      <c r="AF39" s="47">
        <f t="shared" si="8"/>
        <v>0</v>
      </c>
      <c r="AG39" s="47">
        <f t="shared" si="9"/>
        <v>0</v>
      </c>
      <c r="AH39" s="47">
        <f t="shared" si="10"/>
        <v>0</v>
      </c>
      <c r="AI39" s="23">
        <f t="shared" si="11"/>
        <v>0</v>
      </c>
      <c r="AJ39" s="23">
        <f t="shared" si="12"/>
        <v>0</v>
      </c>
      <c r="AK39" s="23">
        <f t="shared" si="13"/>
        <v>0</v>
      </c>
      <c r="AL39" s="23">
        <f t="shared" si="14"/>
        <v>0</v>
      </c>
      <c r="AM39" s="23">
        <f t="shared" si="15"/>
        <v>0</v>
      </c>
      <c r="AN39" s="23">
        <f t="shared" si="16"/>
        <v>0</v>
      </c>
      <c r="AO39" s="23"/>
      <c r="AP39" s="23"/>
      <c r="AQ39" s="32">
        <f t="shared" si="17"/>
        <v>42736</v>
      </c>
      <c r="AR39" s="32">
        <f t="shared" si="18"/>
        <v>42916</v>
      </c>
      <c r="AS39" s="51">
        <v>19</v>
      </c>
      <c r="AT39" s="47">
        <f t="shared" si="19"/>
        <v>0</v>
      </c>
      <c r="AU39" s="47">
        <f t="shared" si="20"/>
        <v>60</v>
      </c>
      <c r="AV39" s="47">
        <f t="shared" si="21"/>
        <v>0</v>
      </c>
      <c r="AW39" s="47">
        <f t="shared" si="22"/>
        <v>0</v>
      </c>
      <c r="AX39" s="47">
        <f t="shared" si="23"/>
        <v>0</v>
      </c>
      <c r="AY39" s="23">
        <f t="shared" si="24"/>
        <v>0.33149171270718231</v>
      </c>
      <c r="AZ39" s="23">
        <f t="shared" si="25"/>
        <v>3.3149171270718231E-2</v>
      </c>
      <c r="BA39" s="23">
        <f t="shared" si="26"/>
        <v>0.62983425414364635</v>
      </c>
      <c r="BB39" s="23">
        <f t="shared" si="27"/>
        <v>0</v>
      </c>
      <c r="BC39" s="23">
        <f t="shared" si="28"/>
        <v>0</v>
      </c>
      <c r="BD39" s="23">
        <f t="shared" si="29"/>
        <v>0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E13"/>
  <sheetViews>
    <sheetView topLeftCell="N1" workbookViewId="0">
      <selection activeCell="O9" sqref="O9"/>
    </sheetView>
  </sheetViews>
  <sheetFormatPr defaultRowHeight="15"/>
  <cols>
    <col min="4" max="4" width="19.28515625" customWidth="1"/>
    <col min="5" max="5" width="19.85546875" bestFit="1" customWidth="1"/>
    <col min="6" max="6" width="8.7109375" bestFit="1" customWidth="1"/>
    <col min="7" max="7" width="13.42578125" customWidth="1"/>
    <col min="8" max="8" width="52.7109375" bestFit="1" customWidth="1"/>
    <col min="9" max="9" width="41" bestFit="1" customWidth="1"/>
    <col min="14" max="14" width="110.5703125" customWidth="1"/>
    <col min="15" max="15" width="10.7109375" bestFit="1" customWidth="1"/>
    <col min="16" max="16" width="14.28515625" customWidth="1"/>
    <col min="18" max="18" width="5.28515625" customWidth="1"/>
    <col min="20" max="20" width="3.7109375" customWidth="1"/>
    <col min="25" max="25" width="4.5703125" customWidth="1"/>
    <col min="27" max="27" width="11.28515625" customWidth="1"/>
    <col min="28" max="28" width="11.140625" customWidth="1"/>
    <col min="41" max="41" width="5" customWidth="1"/>
    <col min="43" max="43" width="11.140625" customWidth="1"/>
    <col min="44" max="44" width="11.7109375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76.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59" t="s">
        <v>71</v>
      </c>
      <c r="P2" s="59" t="s">
        <v>72</v>
      </c>
      <c r="Q2" s="60" t="s">
        <v>73</v>
      </c>
      <c r="R2" s="59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49</v>
      </c>
      <c r="C3" s="47" t="s">
        <v>22</v>
      </c>
      <c r="D3" s="47" t="s">
        <v>50</v>
      </c>
      <c r="E3" s="51" t="s">
        <v>107</v>
      </c>
      <c r="F3" s="51" t="s">
        <v>108</v>
      </c>
      <c r="G3" s="51" t="s">
        <v>109</v>
      </c>
      <c r="H3" s="47" t="s">
        <v>935</v>
      </c>
      <c r="I3" s="47" t="s">
        <v>147</v>
      </c>
      <c r="J3" s="51" t="s">
        <v>112</v>
      </c>
      <c r="K3" s="51" t="s">
        <v>112</v>
      </c>
      <c r="L3" s="51" t="s">
        <v>112</v>
      </c>
      <c r="M3" s="47">
        <v>1953727</v>
      </c>
      <c r="N3" s="50" t="s">
        <v>936</v>
      </c>
      <c r="O3" s="77">
        <f>DATE(2013,10,14)</f>
        <v>41561</v>
      </c>
      <c r="P3" s="77">
        <f>DATE(2015,3,31)</f>
        <v>42094</v>
      </c>
      <c r="Q3" s="51">
        <v>1420</v>
      </c>
      <c r="R3" s="49"/>
      <c r="S3" s="51">
        <v>2</v>
      </c>
      <c r="U3" s="47">
        <f t="shared" ref="U3:U13" si="0">P3-O3+1</f>
        <v>534</v>
      </c>
      <c r="V3" s="31">
        <f t="shared" ref="V3:V13" si="1">Q3/U3</f>
        <v>2.6591760299625467</v>
      </c>
      <c r="W3" s="31">
        <f t="shared" ref="W3:W13" si="2">IF(U3&gt;365,V3*365,Q3)</f>
        <v>970.59925093632955</v>
      </c>
      <c r="X3" s="31">
        <f t="shared" ref="X3:X13" si="3">IF(U3&gt;365,W3/800,Q3/800)</f>
        <v>1.2132490636704119</v>
      </c>
      <c r="Y3" s="31"/>
      <c r="Z3" s="31"/>
      <c r="AA3" s="32">
        <f t="shared" ref="AA3:AA13" si="4">DATE(2016,7,1)</f>
        <v>42552</v>
      </c>
      <c r="AB3" s="77">
        <f t="shared" ref="AB3:AB13" si="5">DATE(2016,12,31)</f>
        <v>42735</v>
      </c>
      <c r="AC3" s="50">
        <v>9</v>
      </c>
      <c r="AD3" s="47">
        <f t="shared" ref="AD3:AD13" si="6">IF(AND(O3&lt;AA3,P3&gt;AB3),AB3-AA3+1,0)</f>
        <v>0</v>
      </c>
      <c r="AE3" s="47">
        <f t="shared" ref="AE3:AE13" si="7">IF(AND(O3&gt;=AA3,P3&gt;AB3,O3&lt;AB3),AB3-O3+1,0)</f>
        <v>0</v>
      </c>
      <c r="AF3" s="47">
        <f t="shared" ref="AF3:AF13" si="8">IF(AND(O3&lt;AA3,P3&lt;=AB3,P3&gt;=AA3),P3-AA3+1,0)</f>
        <v>0</v>
      </c>
      <c r="AG3" s="47">
        <f t="shared" ref="AG3:AG13" si="9">IF(AND(O3&gt;=AA3,P3&lt;=AB3),P3-O3+1,0)</f>
        <v>0</v>
      </c>
      <c r="AH3" s="47">
        <f t="shared" ref="AH3:AH13" si="10">IF(AND(O3&lt;AA3,P3&lt;AA3),(AB3-AA3+1)/2,0)</f>
        <v>92</v>
      </c>
      <c r="AI3" s="23">
        <f t="shared" ref="AI3:AI13" si="11">SUM(AD3:AH3)/(AB3-AA3+1)</f>
        <v>0.5</v>
      </c>
      <c r="AJ3" s="23">
        <f t="shared" ref="AJ3:AJ13" si="12">X3*AI3</f>
        <v>0.60662453183520593</v>
      </c>
      <c r="AK3" s="23">
        <f t="shared" ref="AK3:AK13" si="13">IF(AH3=0,AJ3*AC3,IF(AA3-P3&gt;1095,0,AJ3*(AC3/2)))</f>
        <v>2.7298103932584268</v>
      </c>
      <c r="AL3" s="23">
        <f t="shared" ref="AL3:AL13" si="14">AK3*S3</f>
        <v>5.4596207865168536</v>
      </c>
      <c r="AM3" s="23">
        <f t="shared" ref="AM3:AM13" si="15">IF(J3="SIM",AL3*50%,0)</f>
        <v>0</v>
      </c>
      <c r="AN3" s="23">
        <f t="shared" ref="AN3:AN13" si="16">AL3+AM3</f>
        <v>5.4596207865168536</v>
      </c>
      <c r="AO3" s="23"/>
      <c r="AP3" s="23"/>
      <c r="AQ3" s="32">
        <f t="shared" ref="AQ3:AQ13" si="17">DATE(2017,1,1)</f>
        <v>42736</v>
      </c>
      <c r="AR3" s="72">
        <f t="shared" ref="AR3:AR13" si="18">DATE(2017,6,30)</f>
        <v>42916</v>
      </c>
      <c r="AS3" s="50">
        <v>9</v>
      </c>
      <c r="AT3" s="47">
        <f t="shared" ref="AT3:AT13" si="19">IF(AND(O3&lt;AQ3,P3&gt;AR3),AR3-AQ3+1,0)</f>
        <v>0</v>
      </c>
      <c r="AU3" s="47">
        <f t="shared" ref="AU3:AU13" si="20">IF(AND(O3&gt;=AQ3,P3&gt;AR3,O3&lt;AR3),AR3-O3+1,0)</f>
        <v>0</v>
      </c>
      <c r="AV3" s="47">
        <f t="shared" ref="AV3:AV13" si="21">IF(AND(O3&lt;AQ3,P3&lt;=AR3,P3&gt;=AQ3),P3-AQ3+1,0)</f>
        <v>0</v>
      </c>
      <c r="AW3" s="47">
        <f t="shared" ref="AW3:AW13" si="22">IF(AND(O3&gt;=AQ3,P3&lt;=AR3),P3-O3+1,0)</f>
        <v>0</v>
      </c>
      <c r="AX3" s="47">
        <f t="shared" ref="AX3:AX13" si="23">IF(AND(O3&lt;AQ3,P3&lt;AQ3),(AR3-AQ3+1)/2,0)</f>
        <v>90.5</v>
      </c>
      <c r="AY3" s="23">
        <f t="shared" ref="AY3:AY13" si="24">SUM(AT3:AX3)/(AR3-AQ3+1)</f>
        <v>0.5</v>
      </c>
      <c r="AZ3" s="23">
        <f t="shared" ref="AZ3:AZ13" si="25">X3*AY3</f>
        <v>0.60662453183520593</v>
      </c>
      <c r="BA3" s="23">
        <f t="shared" ref="BA3:BA13" si="26">IF(AX3=0,AZ3*AS3,IF(AQ3-P3&gt;1095,0,AZ3*(AS3/2)))</f>
        <v>2.7298103932584268</v>
      </c>
      <c r="BB3" s="23">
        <f t="shared" ref="BB3:BB13" si="27">BA3*S3</f>
        <v>5.4596207865168536</v>
      </c>
      <c r="BC3" s="23">
        <f t="shared" ref="BC3:BC13" si="28">IF(J3="SIM",BB3*50%,0)</f>
        <v>0</v>
      </c>
      <c r="BD3" s="23">
        <f t="shared" ref="BD3:BD13" si="29">BB3+BC3</f>
        <v>5.4596207865168536</v>
      </c>
    </row>
    <row r="4" spans="1:57" s="47" customFormat="1">
      <c r="A4" s="47" t="s">
        <v>20</v>
      </c>
      <c r="B4" s="47" t="s">
        <v>49</v>
      </c>
      <c r="C4" s="47" t="s">
        <v>22</v>
      </c>
      <c r="D4" s="47" t="s">
        <v>50</v>
      </c>
      <c r="E4" s="51" t="s">
        <v>107</v>
      </c>
      <c r="F4" s="51" t="s">
        <v>108</v>
      </c>
      <c r="G4" s="51" t="s">
        <v>109</v>
      </c>
      <c r="H4" s="47" t="s">
        <v>937</v>
      </c>
      <c r="I4" s="47" t="s">
        <v>111</v>
      </c>
      <c r="J4" s="51" t="s">
        <v>112</v>
      </c>
      <c r="K4" s="51" t="s">
        <v>112</v>
      </c>
      <c r="L4" s="51" t="s">
        <v>112</v>
      </c>
      <c r="M4" s="47">
        <v>1953728</v>
      </c>
      <c r="N4" s="50" t="s">
        <v>938</v>
      </c>
      <c r="O4" s="77">
        <f>DATE(2013,10,14)</f>
        <v>41561</v>
      </c>
      <c r="P4" s="77">
        <f>DATE(2015,3,31)</f>
        <v>42094</v>
      </c>
      <c r="Q4" s="51">
        <v>1280</v>
      </c>
      <c r="R4" s="49"/>
      <c r="S4" s="51">
        <v>1.5</v>
      </c>
      <c r="U4" s="47">
        <f t="shared" si="0"/>
        <v>534</v>
      </c>
      <c r="V4" s="31">
        <f t="shared" si="1"/>
        <v>2.3970037453183521</v>
      </c>
      <c r="W4" s="31">
        <f t="shared" si="2"/>
        <v>874.90636704119856</v>
      </c>
      <c r="X4" s="31">
        <f t="shared" si="3"/>
        <v>1.0936329588014981</v>
      </c>
      <c r="Y4" s="31"/>
      <c r="Z4" s="31"/>
      <c r="AA4" s="32">
        <f t="shared" si="4"/>
        <v>42552</v>
      </c>
      <c r="AB4" s="77">
        <f t="shared" si="5"/>
        <v>42735</v>
      </c>
      <c r="AC4" s="50">
        <v>11</v>
      </c>
      <c r="AD4" s="47">
        <f t="shared" si="6"/>
        <v>0</v>
      </c>
      <c r="AE4" s="47">
        <f t="shared" si="7"/>
        <v>0</v>
      </c>
      <c r="AF4" s="47">
        <f t="shared" si="8"/>
        <v>0</v>
      </c>
      <c r="AG4" s="47">
        <f t="shared" si="9"/>
        <v>0</v>
      </c>
      <c r="AH4" s="47">
        <f t="shared" si="10"/>
        <v>92</v>
      </c>
      <c r="AI4" s="23">
        <f t="shared" si="11"/>
        <v>0.5</v>
      </c>
      <c r="AJ4" s="23">
        <f t="shared" si="12"/>
        <v>0.54681647940074907</v>
      </c>
      <c r="AK4" s="23">
        <f t="shared" si="13"/>
        <v>3.0074906367041199</v>
      </c>
      <c r="AL4" s="23">
        <f t="shared" si="14"/>
        <v>4.51123595505618</v>
      </c>
      <c r="AM4" s="23">
        <f t="shared" si="15"/>
        <v>0</v>
      </c>
      <c r="AN4" s="23">
        <f t="shared" si="16"/>
        <v>4.51123595505618</v>
      </c>
      <c r="AO4" s="23"/>
      <c r="AP4" s="23"/>
      <c r="AQ4" s="32">
        <f t="shared" si="17"/>
        <v>42736</v>
      </c>
      <c r="AR4" s="72">
        <f t="shared" si="18"/>
        <v>42916</v>
      </c>
      <c r="AS4" s="50">
        <v>10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0.54681647940074907</v>
      </c>
      <c r="BA4" s="23">
        <f t="shared" si="26"/>
        <v>2.7340823970037453</v>
      </c>
      <c r="BB4" s="23">
        <f t="shared" si="27"/>
        <v>4.1011235955056176</v>
      </c>
      <c r="BC4" s="23">
        <f t="shared" si="28"/>
        <v>0</v>
      </c>
      <c r="BD4" s="23">
        <f t="shared" si="29"/>
        <v>4.1011235955056176</v>
      </c>
    </row>
    <row r="5" spans="1:57" s="47" customFormat="1">
      <c r="A5" s="47" t="s">
        <v>20</v>
      </c>
      <c r="B5" s="47" t="s">
        <v>49</v>
      </c>
      <c r="C5" s="47" t="s">
        <v>22</v>
      </c>
      <c r="D5" s="47" t="s">
        <v>50</v>
      </c>
      <c r="E5" s="51" t="s">
        <v>154</v>
      </c>
      <c r="F5" s="51" t="s">
        <v>108</v>
      </c>
      <c r="G5" s="51" t="s">
        <v>109</v>
      </c>
      <c r="H5" s="47" t="s">
        <v>169</v>
      </c>
      <c r="I5" s="47" t="s">
        <v>116</v>
      </c>
      <c r="J5" s="51" t="s">
        <v>112</v>
      </c>
      <c r="K5" s="51" t="s">
        <v>112</v>
      </c>
      <c r="L5" s="51" t="s">
        <v>148</v>
      </c>
      <c r="M5" s="47">
        <v>1970191</v>
      </c>
      <c r="N5" s="50" t="s">
        <v>939</v>
      </c>
      <c r="O5" s="77">
        <f>DATE(2014,10,1)</f>
        <v>41913</v>
      </c>
      <c r="P5" s="77">
        <f>DATE(2016,11,30)</f>
        <v>42704</v>
      </c>
      <c r="Q5" s="51">
        <v>1200</v>
      </c>
      <c r="R5" s="49"/>
      <c r="S5" s="51">
        <v>2</v>
      </c>
      <c r="U5" s="47">
        <f t="shared" si="0"/>
        <v>792</v>
      </c>
      <c r="V5" s="31">
        <f t="shared" si="1"/>
        <v>1.5151515151515151</v>
      </c>
      <c r="W5" s="31">
        <f t="shared" si="2"/>
        <v>553.030303030303</v>
      </c>
      <c r="X5" s="31">
        <f t="shared" si="3"/>
        <v>0.69128787878787878</v>
      </c>
      <c r="Y5" s="31"/>
      <c r="Z5" s="31"/>
      <c r="AA5" s="32">
        <f t="shared" si="4"/>
        <v>42552</v>
      </c>
      <c r="AB5" s="77">
        <f t="shared" si="5"/>
        <v>42735</v>
      </c>
      <c r="AC5" s="50">
        <v>19</v>
      </c>
      <c r="AD5" s="47">
        <f t="shared" si="6"/>
        <v>0</v>
      </c>
      <c r="AE5" s="47">
        <f t="shared" si="7"/>
        <v>0</v>
      </c>
      <c r="AF5" s="47">
        <f t="shared" si="8"/>
        <v>153</v>
      </c>
      <c r="AG5" s="47">
        <f t="shared" si="9"/>
        <v>0</v>
      </c>
      <c r="AH5" s="47">
        <f t="shared" si="10"/>
        <v>0</v>
      </c>
      <c r="AI5" s="23">
        <f t="shared" si="11"/>
        <v>0.83152173913043481</v>
      </c>
      <c r="AJ5" s="23">
        <f t="shared" si="12"/>
        <v>0.5748208992094862</v>
      </c>
      <c r="AK5" s="23">
        <f t="shared" si="13"/>
        <v>10.921597084980238</v>
      </c>
      <c r="AL5" s="23">
        <f t="shared" si="14"/>
        <v>21.843194169960476</v>
      </c>
      <c r="AM5" s="23">
        <f t="shared" si="15"/>
        <v>0</v>
      </c>
      <c r="AN5" s="23">
        <f t="shared" si="16"/>
        <v>21.843194169960476</v>
      </c>
      <c r="AO5" s="23"/>
      <c r="AP5" s="23"/>
      <c r="AQ5" s="32">
        <f t="shared" si="17"/>
        <v>42736</v>
      </c>
      <c r="AR5" s="72">
        <f t="shared" si="18"/>
        <v>42916</v>
      </c>
      <c r="AS5" s="50">
        <v>19</v>
      </c>
      <c r="AT5" s="47">
        <f t="shared" si="19"/>
        <v>0</v>
      </c>
      <c r="AU5" s="47">
        <f t="shared" si="20"/>
        <v>0</v>
      </c>
      <c r="AV5" s="47">
        <f t="shared" si="21"/>
        <v>0</v>
      </c>
      <c r="AW5" s="47">
        <f t="shared" si="22"/>
        <v>0</v>
      </c>
      <c r="AX5" s="47">
        <f t="shared" si="23"/>
        <v>90.5</v>
      </c>
      <c r="AY5" s="23">
        <f t="shared" si="24"/>
        <v>0.5</v>
      </c>
      <c r="AZ5" s="23">
        <f t="shared" si="25"/>
        <v>0.34564393939393939</v>
      </c>
      <c r="BA5" s="23">
        <f t="shared" si="26"/>
        <v>3.2836174242424243</v>
      </c>
      <c r="BB5" s="23">
        <f t="shared" si="27"/>
        <v>6.5672348484848486</v>
      </c>
      <c r="BC5" s="23">
        <f t="shared" si="28"/>
        <v>0</v>
      </c>
      <c r="BD5" s="23">
        <f t="shared" si="29"/>
        <v>6.5672348484848486</v>
      </c>
    </row>
    <row r="6" spans="1:57" s="47" customFormat="1">
      <c r="A6" s="47" t="s">
        <v>20</v>
      </c>
      <c r="B6" s="47" t="s">
        <v>49</v>
      </c>
      <c r="C6" s="47" t="s">
        <v>22</v>
      </c>
      <c r="D6" s="47" t="s">
        <v>50</v>
      </c>
      <c r="E6" s="51" t="s">
        <v>154</v>
      </c>
      <c r="F6" s="51" t="s">
        <v>108</v>
      </c>
      <c r="G6" s="51" t="s">
        <v>109</v>
      </c>
      <c r="H6" s="47" t="s">
        <v>224</v>
      </c>
      <c r="I6" s="47" t="s">
        <v>167</v>
      </c>
      <c r="J6" s="51" t="s">
        <v>112</v>
      </c>
      <c r="K6" s="51" t="s">
        <v>112</v>
      </c>
      <c r="L6" s="51" t="s">
        <v>148</v>
      </c>
      <c r="M6" s="47">
        <v>1972709</v>
      </c>
      <c r="N6" s="50" t="s">
        <v>940</v>
      </c>
      <c r="O6" s="77">
        <f>DATE(2014,10,1)</f>
        <v>41913</v>
      </c>
      <c r="P6" s="77">
        <f>DATE(2016,11,30)</f>
        <v>42704</v>
      </c>
      <c r="Q6" s="51">
        <v>1680</v>
      </c>
      <c r="R6" s="49"/>
      <c r="S6" s="51">
        <v>1</v>
      </c>
      <c r="U6" s="47">
        <f t="shared" si="0"/>
        <v>792</v>
      </c>
      <c r="V6" s="31">
        <f t="shared" si="1"/>
        <v>2.1212121212121211</v>
      </c>
      <c r="W6" s="31">
        <f t="shared" si="2"/>
        <v>774.24242424242425</v>
      </c>
      <c r="X6" s="31">
        <f t="shared" si="3"/>
        <v>0.96780303030303028</v>
      </c>
      <c r="Y6" s="31"/>
      <c r="Z6" s="31"/>
      <c r="AA6" s="32">
        <f t="shared" si="4"/>
        <v>42552</v>
      </c>
      <c r="AB6" s="77">
        <f t="shared" si="5"/>
        <v>42735</v>
      </c>
      <c r="AC6" s="50">
        <v>17</v>
      </c>
      <c r="AD6" s="47">
        <f t="shared" si="6"/>
        <v>0</v>
      </c>
      <c r="AE6" s="47">
        <f t="shared" si="7"/>
        <v>0</v>
      </c>
      <c r="AF6" s="47">
        <f t="shared" si="8"/>
        <v>153</v>
      </c>
      <c r="AG6" s="47">
        <f t="shared" si="9"/>
        <v>0</v>
      </c>
      <c r="AH6" s="47">
        <f t="shared" si="10"/>
        <v>0</v>
      </c>
      <c r="AI6" s="23">
        <f t="shared" si="11"/>
        <v>0.83152173913043481</v>
      </c>
      <c r="AJ6" s="23">
        <f t="shared" si="12"/>
        <v>0.80474925889328064</v>
      </c>
      <c r="AK6" s="23">
        <f t="shared" si="13"/>
        <v>13.680737401185771</v>
      </c>
      <c r="AL6" s="23">
        <f t="shared" si="14"/>
        <v>13.680737401185771</v>
      </c>
      <c r="AM6" s="23">
        <f t="shared" si="15"/>
        <v>0</v>
      </c>
      <c r="AN6" s="23">
        <f t="shared" si="16"/>
        <v>13.680737401185771</v>
      </c>
      <c r="AO6" s="23"/>
      <c r="AP6" s="23"/>
      <c r="AQ6" s="32">
        <f t="shared" si="17"/>
        <v>42736</v>
      </c>
      <c r="AR6" s="72">
        <f t="shared" si="18"/>
        <v>42916</v>
      </c>
      <c r="AS6" s="50">
        <v>17</v>
      </c>
      <c r="AT6" s="47">
        <f t="shared" si="19"/>
        <v>0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90.5</v>
      </c>
      <c r="AY6" s="23">
        <f t="shared" si="24"/>
        <v>0.5</v>
      </c>
      <c r="AZ6" s="23">
        <f t="shared" si="25"/>
        <v>0.48390151515151514</v>
      </c>
      <c r="BA6" s="23">
        <f t="shared" si="26"/>
        <v>4.1131628787878789</v>
      </c>
      <c r="BB6" s="23">
        <f t="shared" si="27"/>
        <v>4.1131628787878789</v>
      </c>
      <c r="BC6" s="23">
        <f t="shared" si="28"/>
        <v>0</v>
      </c>
      <c r="BD6" s="23">
        <f t="shared" si="29"/>
        <v>4.1131628787878789</v>
      </c>
    </row>
    <row r="7" spans="1:57" s="47" customFormat="1">
      <c r="A7" s="47" t="s">
        <v>20</v>
      </c>
      <c r="B7" s="47" t="s">
        <v>49</v>
      </c>
      <c r="C7" s="47" t="s">
        <v>22</v>
      </c>
      <c r="D7" s="47" t="s">
        <v>50</v>
      </c>
      <c r="E7" s="51" t="s">
        <v>107</v>
      </c>
      <c r="F7" s="51" t="s">
        <v>108</v>
      </c>
      <c r="G7" s="51" t="s">
        <v>109</v>
      </c>
      <c r="H7" s="47" t="s">
        <v>937</v>
      </c>
      <c r="I7" s="47" t="s">
        <v>111</v>
      </c>
      <c r="J7" s="51" t="s">
        <v>112</v>
      </c>
      <c r="K7" s="51" t="s">
        <v>112</v>
      </c>
      <c r="L7" s="51" t="s">
        <v>112</v>
      </c>
      <c r="M7" s="47">
        <v>1989587</v>
      </c>
      <c r="N7" s="51" t="s">
        <v>941</v>
      </c>
      <c r="O7" s="77">
        <f>DATE(2015,6,12)</f>
        <v>42167</v>
      </c>
      <c r="P7" s="77">
        <f>DATE(2017,6,30)</f>
        <v>42916</v>
      </c>
      <c r="Q7" s="51">
        <v>1280</v>
      </c>
      <c r="R7" s="49"/>
      <c r="S7" s="51">
        <v>1.5</v>
      </c>
      <c r="U7" s="47">
        <f t="shared" si="0"/>
        <v>750</v>
      </c>
      <c r="V7" s="31">
        <f t="shared" si="1"/>
        <v>1.7066666666666668</v>
      </c>
      <c r="W7" s="31">
        <f t="shared" si="2"/>
        <v>622.93333333333339</v>
      </c>
      <c r="X7" s="31">
        <f t="shared" si="3"/>
        <v>0.77866666666666673</v>
      </c>
      <c r="Y7" s="31"/>
      <c r="Z7" s="31"/>
      <c r="AA7" s="32">
        <f t="shared" si="4"/>
        <v>42552</v>
      </c>
      <c r="AB7" s="77">
        <f t="shared" si="5"/>
        <v>42735</v>
      </c>
      <c r="AC7" s="51">
        <v>75</v>
      </c>
      <c r="AD7" s="47">
        <f t="shared" si="6"/>
        <v>184</v>
      </c>
      <c r="AE7" s="47">
        <f t="shared" si="7"/>
        <v>0</v>
      </c>
      <c r="AF7" s="47">
        <f t="shared" si="8"/>
        <v>0</v>
      </c>
      <c r="AG7" s="47">
        <f t="shared" si="9"/>
        <v>0</v>
      </c>
      <c r="AH7" s="47">
        <f t="shared" si="10"/>
        <v>0</v>
      </c>
      <c r="AI7" s="23">
        <f t="shared" si="11"/>
        <v>1</v>
      </c>
      <c r="AJ7" s="23">
        <f t="shared" si="12"/>
        <v>0.77866666666666673</v>
      </c>
      <c r="AK7" s="23">
        <f t="shared" si="13"/>
        <v>58.400000000000006</v>
      </c>
      <c r="AL7" s="23">
        <f t="shared" si="14"/>
        <v>87.600000000000009</v>
      </c>
      <c r="AM7" s="23">
        <f t="shared" si="15"/>
        <v>0</v>
      </c>
      <c r="AN7" s="23">
        <f t="shared" si="16"/>
        <v>87.600000000000009</v>
      </c>
      <c r="AO7" s="23"/>
      <c r="AP7" s="23"/>
      <c r="AQ7" s="32">
        <f t="shared" si="17"/>
        <v>42736</v>
      </c>
      <c r="AR7" s="55">
        <f t="shared" si="18"/>
        <v>42916</v>
      </c>
      <c r="AS7" s="51">
        <v>72</v>
      </c>
      <c r="AT7" s="47">
        <f t="shared" si="19"/>
        <v>0</v>
      </c>
      <c r="AU7" s="47">
        <f t="shared" si="20"/>
        <v>0</v>
      </c>
      <c r="AV7" s="47">
        <f t="shared" si="21"/>
        <v>181</v>
      </c>
      <c r="AW7" s="47">
        <f t="shared" si="22"/>
        <v>0</v>
      </c>
      <c r="AX7" s="47">
        <f t="shared" si="23"/>
        <v>0</v>
      </c>
      <c r="AY7" s="23">
        <f t="shared" si="24"/>
        <v>1</v>
      </c>
      <c r="AZ7" s="23">
        <f t="shared" si="25"/>
        <v>0.77866666666666673</v>
      </c>
      <c r="BA7" s="23">
        <f t="shared" si="26"/>
        <v>56.064000000000007</v>
      </c>
      <c r="BB7" s="23">
        <f t="shared" si="27"/>
        <v>84.096000000000004</v>
      </c>
      <c r="BC7" s="23">
        <f t="shared" si="28"/>
        <v>0</v>
      </c>
      <c r="BD7" s="23">
        <f t="shared" si="29"/>
        <v>84.096000000000004</v>
      </c>
    </row>
    <row r="8" spans="1:57" s="47" customFormat="1">
      <c r="A8" s="47" t="s">
        <v>20</v>
      </c>
      <c r="B8" s="47" t="s">
        <v>49</v>
      </c>
      <c r="C8" s="47" t="s">
        <v>22</v>
      </c>
      <c r="D8" s="47" t="s">
        <v>50</v>
      </c>
      <c r="E8" s="51" t="s">
        <v>107</v>
      </c>
      <c r="F8" s="51" t="s">
        <v>108</v>
      </c>
      <c r="G8" s="51" t="s">
        <v>109</v>
      </c>
      <c r="H8" s="47" t="s">
        <v>937</v>
      </c>
      <c r="I8" s="47" t="s">
        <v>111</v>
      </c>
      <c r="J8" s="51" t="s">
        <v>112</v>
      </c>
      <c r="K8" s="51" t="s">
        <v>112</v>
      </c>
      <c r="L8" s="51" t="s">
        <v>112</v>
      </c>
      <c r="M8" s="47">
        <v>2022180</v>
      </c>
      <c r="N8" s="52" t="s">
        <v>942</v>
      </c>
      <c r="O8" s="77">
        <f>DATE(2016,3,28)</f>
        <v>42457</v>
      </c>
      <c r="P8" s="77">
        <f>DATE(2018,3,30)</f>
        <v>43189</v>
      </c>
      <c r="Q8" s="51">
        <v>1000</v>
      </c>
      <c r="R8" s="49"/>
      <c r="S8" s="51">
        <v>1.5</v>
      </c>
      <c r="U8" s="47">
        <f t="shared" si="0"/>
        <v>733</v>
      </c>
      <c r="V8" s="31">
        <f t="shared" si="1"/>
        <v>1.3642564802182811</v>
      </c>
      <c r="W8" s="31">
        <f t="shared" si="2"/>
        <v>497.95361527967259</v>
      </c>
      <c r="X8" s="31">
        <f t="shared" si="3"/>
        <v>0.62244201909959074</v>
      </c>
      <c r="Y8" s="31"/>
      <c r="Z8" s="31"/>
      <c r="AA8" s="32">
        <f t="shared" si="4"/>
        <v>42552</v>
      </c>
      <c r="AB8" s="77">
        <f t="shared" si="5"/>
        <v>42735</v>
      </c>
      <c r="AC8" s="52">
        <v>39</v>
      </c>
      <c r="AD8" s="47">
        <f t="shared" si="6"/>
        <v>184</v>
      </c>
      <c r="AE8" s="47">
        <f t="shared" si="7"/>
        <v>0</v>
      </c>
      <c r="AF8" s="47">
        <f t="shared" si="8"/>
        <v>0</v>
      </c>
      <c r="AG8" s="47">
        <f t="shared" si="9"/>
        <v>0</v>
      </c>
      <c r="AH8" s="47">
        <f t="shared" si="10"/>
        <v>0</v>
      </c>
      <c r="AI8" s="23">
        <f t="shared" si="11"/>
        <v>1</v>
      </c>
      <c r="AJ8" s="23">
        <f t="shared" si="12"/>
        <v>0.62244201909959074</v>
      </c>
      <c r="AK8" s="23">
        <f t="shared" si="13"/>
        <v>24.275238744884039</v>
      </c>
      <c r="AL8" s="23">
        <f t="shared" si="14"/>
        <v>36.41285811732606</v>
      </c>
      <c r="AM8" s="23">
        <f t="shared" si="15"/>
        <v>0</v>
      </c>
      <c r="AN8" s="23">
        <f t="shared" si="16"/>
        <v>36.41285811732606</v>
      </c>
      <c r="AO8" s="23"/>
      <c r="AP8" s="23"/>
      <c r="AQ8" s="32">
        <f t="shared" si="17"/>
        <v>42736</v>
      </c>
      <c r="AR8" s="73">
        <f t="shared" si="18"/>
        <v>42916</v>
      </c>
      <c r="AS8" s="52">
        <v>36</v>
      </c>
      <c r="AT8" s="47">
        <f t="shared" si="19"/>
        <v>181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0</v>
      </c>
      <c r="AY8" s="23">
        <f t="shared" si="24"/>
        <v>1</v>
      </c>
      <c r="AZ8" s="23">
        <f t="shared" si="25"/>
        <v>0.62244201909959074</v>
      </c>
      <c r="BA8" s="23">
        <f t="shared" si="26"/>
        <v>22.407912687585267</v>
      </c>
      <c r="BB8" s="23">
        <f t="shared" si="27"/>
        <v>33.6118690313779</v>
      </c>
      <c r="BC8" s="23">
        <f t="shared" si="28"/>
        <v>0</v>
      </c>
      <c r="BD8" s="23">
        <f t="shared" si="29"/>
        <v>33.6118690313779</v>
      </c>
    </row>
    <row r="9" spans="1:57" s="47" customFormat="1">
      <c r="A9" s="47" t="s">
        <v>20</v>
      </c>
      <c r="B9" s="47" t="s">
        <v>49</v>
      </c>
      <c r="C9" s="47" t="s">
        <v>22</v>
      </c>
      <c r="D9" s="47" t="s">
        <v>50</v>
      </c>
      <c r="E9" s="51" t="s">
        <v>107</v>
      </c>
      <c r="F9" s="51" t="s">
        <v>108</v>
      </c>
      <c r="G9" s="51" t="s">
        <v>109</v>
      </c>
      <c r="H9" s="47" t="s">
        <v>937</v>
      </c>
      <c r="I9" s="47" t="s">
        <v>111</v>
      </c>
      <c r="J9" s="51" t="s">
        <v>112</v>
      </c>
      <c r="K9" s="51" t="s">
        <v>112</v>
      </c>
      <c r="L9" s="51" t="s">
        <v>112</v>
      </c>
      <c r="M9" s="47">
        <v>2042947</v>
      </c>
      <c r="N9" s="52" t="s">
        <v>943</v>
      </c>
      <c r="O9" s="77">
        <f>DATE(2016,6,24)</f>
        <v>42545</v>
      </c>
      <c r="P9" s="77">
        <f>DATE(2018,6,25)</f>
        <v>43276</v>
      </c>
      <c r="Q9" s="51">
        <v>1000</v>
      </c>
      <c r="R9" s="49"/>
      <c r="S9" s="51">
        <v>1.5</v>
      </c>
      <c r="U9" s="47">
        <f t="shared" si="0"/>
        <v>732</v>
      </c>
      <c r="V9" s="31">
        <f t="shared" si="1"/>
        <v>1.3661202185792349</v>
      </c>
      <c r="W9" s="31">
        <f t="shared" si="2"/>
        <v>498.63387978142077</v>
      </c>
      <c r="X9" s="31">
        <f t="shared" si="3"/>
        <v>0.62329234972677594</v>
      </c>
      <c r="Y9" s="31"/>
      <c r="Z9" s="31"/>
      <c r="AA9" s="32">
        <f t="shared" si="4"/>
        <v>42552</v>
      </c>
      <c r="AB9" s="77">
        <f t="shared" si="5"/>
        <v>42735</v>
      </c>
      <c r="AC9" s="52">
        <v>41</v>
      </c>
      <c r="AD9" s="47">
        <f t="shared" si="6"/>
        <v>184</v>
      </c>
      <c r="AE9" s="47">
        <f t="shared" si="7"/>
        <v>0</v>
      </c>
      <c r="AF9" s="47">
        <f t="shared" si="8"/>
        <v>0</v>
      </c>
      <c r="AG9" s="47">
        <f t="shared" si="9"/>
        <v>0</v>
      </c>
      <c r="AH9" s="47">
        <f t="shared" si="10"/>
        <v>0</v>
      </c>
      <c r="AI9" s="23">
        <f t="shared" si="11"/>
        <v>1</v>
      </c>
      <c r="AJ9" s="23">
        <f t="shared" si="12"/>
        <v>0.62329234972677594</v>
      </c>
      <c r="AK9" s="23">
        <f t="shared" si="13"/>
        <v>25.554986338797814</v>
      </c>
      <c r="AL9" s="23">
        <f t="shared" si="14"/>
        <v>38.33247950819672</v>
      </c>
      <c r="AM9" s="23">
        <f t="shared" si="15"/>
        <v>0</v>
      </c>
      <c r="AN9" s="23">
        <f t="shared" si="16"/>
        <v>38.33247950819672</v>
      </c>
      <c r="AO9" s="23"/>
      <c r="AP9" s="23"/>
      <c r="AQ9" s="32">
        <f t="shared" si="17"/>
        <v>42736</v>
      </c>
      <c r="AR9" s="73">
        <f t="shared" si="18"/>
        <v>42916</v>
      </c>
      <c r="AS9" s="52">
        <v>37</v>
      </c>
      <c r="AT9" s="47">
        <f t="shared" si="19"/>
        <v>181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0</v>
      </c>
      <c r="AY9" s="23">
        <f t="shared" si="24"/>
        <v>1</v>
      </c>
      <c r="AZ9" s="23">
        <f t="shared" si="25"/>
        <v>0.62329234972677594</v>
      </c>
      <c r="BA9" s="23">
        <f t="shared" si="26"/>
        <v>23.061816939890711</v>
      </c>
      <c r="BB9" s="23">
        <f t="shared" si="27"/>
        <v>34.592725409836063</v>
      </c>
      <c r="BC9" s="23">
        <f t="shared" si="28"/>
        <v>0</v>
      </c>
      <c r="BD9" s="23">
        <f t="shared" si="29"/>
        <v>34.592725409836063</v>
      </c>
    </row>
    <row r="10" spans="1:57" s="47" customFormat="1">
      <c r="A10" s="47" t="s">
        <v>20</v>
      </c>
      <c r="B10" s="47" t="s">
        <v>49</v>
      </c>
      <c r="C10" s="47" t="s">
        <v>22</v>
      </c>
      <c r="D10" s="47" t="s">
        <v>50</v>
      </c>
      <c r="E10" s="51" t="s">
        <v>107</v>
      </c>
      <c r="F10" s="51" t="s">
        <v>108</v>
      </c>
      <c r="G10" s="51" t="s">
        <v>109</v>
      </c>
      <c r="H10" s="47" t="s">
        <v>615</v>
      </c>
      <c r="I10" s="47" t="s">
        <v>111</v>
      </c>
      <c r="J10" s="51" t="s">
        <v>112</v>
      </c>
      <c r="K10" s="51" t="s">
        <v>112</v>
      </c>
      <c r="L10" s="51" t="s">
        <v>112</v>
      </c>
      <c r="M10" s="47">
        <v>2043242</v>
      </c>
      <c r="N10" s="52" t="s">
        <v>944</v>
      </c>
      <c r="O10" s="77">
        <f>DATE(2016,6,24)</f>
        <v>42545</v>
      </c>
      <c r="P10" s="77">
        <f>DATE(2018,6,25)</f>
        <v>43276</v>
      </c>
      <c r="Q10" s="51">
        <v>1000</v>
      </c>
      <c r="R10" s="49"/>
      <c r="S10" s="51">
        <v>1</v>
      </c>
      <c r="U10" s="47">
        <f t="shared" si="0"/>
        <v>732</v>
      </c>
      <c r="V10" s="31">
        <f t="shared" si="1"/>
        <v>1.3661202185792349</v>
      </c>
      <c r="W10" s="31">
        <f t="shared" si="2"/>
        <v>498.63387978142077</v>
      </c>
      <c r="X10" s="31">
        <f t="shared" si="3"/>
        <v>0.62329234972677594</v>
      </c>
      <c r="Y10" s="31"/>
      <c r="Z10" s="31"/>
      <c r="AA10" s="32">
        <f t="shared" si="4"/>
        <v>42552</v>
      </c>
      <c r="AB10" s="77">
        <f t="shared" si="5"/>
        <v>42735</v>
      </c>
      <c r="AC10" s="52">
        <v>40</v>
      </c>
      <c r="AD10" s="47">
        <f t="shared" si="6"/>
        <v>184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1</v>
      </c>
      <c r="AJ10" s="23">
        <f t="shared" si="12"/>
        <v>0.62329234972677594</v>
      </c>
      <c r="AK10" s="23">
        <f t="shared" si="13"/>
        <v>24.931693989071036</v>
      </c>
      <c r="AL10" s="23">
        <f t="shared" si="14"/>
        <v>24.931693989071036</v>
      </c>
      <c r="AM10" s="23">
        <f t="shared" si="15"/>
        <v>0</v>
      </c>
      <c r="AN10" s="23">
        <f t="shared" si="16"/>
        <v>24.931693989071036</v>
      </c>
      <c r="AO10" s="23"/>
      <c r="AP10" s="23"/>
      <c r="AQ10" s="32">
        <f t="shared" si="17"/>
        <v>42736</v>
      </c>
      <c r="AR10" s="73">
        <f t="shared" si="18"/>
        <v>42916</v>
      </c>
      <c r="AS10" s="52">
        <v>40</v>
      </c>
      <c r="AT10" s="47">
        <f t="shared" si="19"/>
        <v>181</v>
      </c>
      <c r="AU10" s="47">
        <f t="shared" si="20"/>
        <v>0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1</v>
      </c>
      <c r="AZ10" s="23">
        <f t="shared" si="25"/>
        <v>0.62329234972677594</v>
      </c>
      <c r="BA10" s="23">
        <f t="shared" si="26"/>
        <v>24.931693989071036</v>
      </c>
      <c r="BB10" s="23">
        <f t="shared" si="27"/>
        <v>24.931693989071036</v>
      </c>
      <c r="BC10" s="23">
        <f t="shared" si="28"/>
        <v>0</v>
      </c>
      <c r="BD10" s="23">
        <f t="shared" si="29"/>
        <v>24.931693989071036</v>
      </c>
    </row>
    <row r="11" spans="1:57" s="47" customFormat="1">
      <c r="A11" s="74" t="s">
        <v>20</v>
      </c>
      <c r="B11" s="47" t="s">
        <v>49</v>
      </c>
      <c r="C11" s="47" t="s">
        <v>22</v>
      </c>
      <c r="D11" s="47" t="s">
        <v>50</v>
      </c>
      <c r="E11" s="51" t="s">
        <v>107</v>
      </c>
      <c r="F11" s="51" t="s">
        <v>108</v>
      </c>
      <c r="G11" s="51" t="s">
        <v>109</v>
      </c>
      <c r="H11" s="47" t="s">
        <v>937</v>
      </c>
      <c r="I11" s="47" t="s">
        <v>111</v>
      </c>
      <c r="J11" s="51" t="s">
        <v>112</v>
      </c>
      <c r="K11" s="51" t="s">
        <v>112</v>
      </c>
      <c r="L11" s="51" t="s">
        <v>112</v>
      </c>
      <c r="M11" s="47">
        <v>2149220</v>
      </c>
      <c r="N11" s="52" t="s">
        <v>945</v>
      </c>
      <c r="O11" s="77">
        <f>DATE(2017,3,31)</f>
        <v>42825</v>
      </c>
      <c r="P11" s="77">
        <f>DATE(2019,3,29)</f>
        <v>43553</v>
      </c>
      <c r="Q11" s="51">
        <v>1280</v>
      </c>
      <c r="R11" s="49"/>
      <c r="S11" s="51">
        <v>1.5</v>
      </c>
      <c r="U11" s="47">
        <f t="shared" si="0"/>
        <v>729</v>
      </c>
      <c r="V11" s="31">
        <f t="shared" si="1"/>
        <v>1.7558299039780521</v>
      </c>
      <c r="W11" s="31">
        <f t="shared" si="2"/>
        <v>640.87791495198906</v>
      </c>
      <c r="X11" s="31">
        <f t="shared" si="3"/>
        <v>0.80109739368998634</v>
      </c>
      <c r="Y11" s="31"/>
      <c r="Z11" s="31"/>
      <c r="AA11" s="32">
        <f t="shared" si="4"/>
        <v>42552</v>
      </c>
      <c r="AB11" s="77">
        <f t="shared" si="5"/>
        <v>42735</v>
      </c>
      <c r="AC11" s="49">
        <v>0</v>
      </c>
      <c r="AD11" s="47">
        <f t="shared" si="6"/>
        <v>0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O11" s="23"/>
      <c r="AP11" s="23"/>
      <c r="AQ11" s="32">
        <f t="shared" si="17"/>
        <v>42736</v>
      </c>
      <c r="AR11" s="73">
        <f t="shared" si="18"/>
        <v>42916</v>
      </c>
      <c r="AS11" s="52">
        <v>40</v>
      </c>
      <c r="AT11" s="47">
        <f t="shared" si="19"/>
        <v>0</v>
      </c>
      <c r="AU11" s="47">
        <f t="shared" si="20"/>
        <v>92</v>
      </c>
      <c r="AV11" s="47">
        <f t="shared" si="21"/>
        <v>0</v>
      </c>
      <c r="AW11" s="47">
        <f t="shared" si="22"/>
        <v>0</v>
      </c>
      <c r="AX11" s="47">
        <f t="shared" si="23"/>
        <v>0</v>
      </c>
      <c r="AY11" s="23">
        <f t="shared" si="24"/>
        <v>0.50828729281767959</v>
      </c>
      <c r="AZ11" s="23">
        <f t="shared" si="25"/>
        <v>0.40718762552198201</v>
      </c>
      <c r="BA11" s="23">
        <f t="shared" si="26"/>
        <v>16.28750502087928</v>
      </c>
      <c r="BB11" s="23">
        <f t="shared" si="27"/>
        <v>24.43125753131892</v>
      </c>
      <c r="BC11" s="23">
        <f t="shared" si="28"/>
        <v>0</v>
      </c>
      <c r="BD11" s="23">
        <f t="shared" si="29"/>
        <v>24.43125753131892</v>
      </c>
    </row>
    <row r="12" spans="1:57" s="47" customFormat="1">
      <c r="A12" s="47" t="s">
        <v>20</v>
      </c>
      <c r="B12" s="47" t="s">
        <v>49</v>
      </c>
      <c r="C12" s="47" t="s">
        <v>22</v>
      </c>
      <c r="D12" s="47" t="s">
        <v>50</v>
      </c>
      <c r="E12" s="51" t="s">
        <v>107</v>
      </c>
      <c r="F12" s="51" t="s">
        <v>108</v>
      </c>
      <c r="G12" s="51" t="s">
        <v>109</v>
      </c>
      <c r="H12" s="47" t="s">
        <v>615</v>
      </c>
      <c r="I12" s="47" t="s">
        <v>111</v>
      </c>
      <c r="J12" s="51" t="s">
        <v>112</v>
      </c>
      <c r="K12" s="51" t="s">
        <v>112</v>
      </c>
      <c r="L12" s="51" t="s">
        <v>112</v>
      </c>
      <c r="M12" s="47">
        <v>2149249</v>
      </c>
      <c r="N12" s="52" t="s">
        <v>946</v>
      </c>
      <c r="O12" s="77">
        <f>DATE(2017,3,31)</f>
        <v>42825</v>
      </c>
      <c r="P12" s="77">
        <f>DATE(2022,6,24)</f>
        <v>44736</v>
      </c>
      <c r="Q12" s="51">
        <v>3413</v>
      </c>
      <c r="R12" s="49"/>
      <c r="S12" s="51">
        <v>1</v>
      </c>
      <c r="U12" s="47">
        <f t="shared" si="0"/>
        <v>1912</v>
      </c>
      <c r="V12" s="31">
        <f t="shared" si="1"/>
        <v>1.7850418410041842</v>
      </c>
      <c r="W12" s="31">
        <f t="shared" si="2"/>
        <v>651.54027196652726</v>
      </c>
      <c r="X12" s="31">
        <f t="shared" si="3"/>
        <v>0.81442533995815902</v>
      </c>
      <c r="Y12" s="31"/>
      <c r="Z12" s="31"/>
      <c r="AA12" s="32">
        <f t="shared" si="4"/>
        <v>42552</v>
      </c>
      <c r="AB12" s="77">
        <f t="shared" si="5"/>
        <v>42735</v>
      </c>
      <c r="AC12" s="49">
        <v>0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0</v>
      </c>
      <c r="AH12" s="47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O12" s="23"/>
      <c r="AP12" s="23"/>
      <c r="AQ12" s="32">
        <f t="shared" si="17"/>
        <v>42736</v>
      </c>
      <c r="AR12" s="73">
        <f t="shared" si="18"/>
        <v>42916</v>
      </c>
      <c r="AS12" s="52">
        <v>40</v>
      </c>
      <c r="AT12" s="47">
        <f t="shared" si="19"/>
        <v>0</v>
      </c>
      <c r="AU12" s="47">
        <f t="shared" si="20"/>
        <v>92</v>
      </c>
      <c r="AV12" s="47">
        <f t="shared" si="21"/>
        <v>0</v>
      </c>
      <c r="AW12" s="47">
        <f t="shared" si="22"/>
        <v>0</v>
      </c>
      <c r="AX12" s="47">
        <f t="shared" si="23"/>
        <v>0</v>
      </c>
      <c r="AY12" s="23">
        <f t="shared" si="24"/>
        <v>0.50828729281767959</v>
      </c>
      <c r="AZ12" s="23">
        <f t="shared" si="25"/>
        <v>0.41396205124945101</v>
      </c>
      <c r="BA12" s="23">
        <f t="shared" si="26"/>
        <v>16.558482049978039</v>
      </c>
      <c r="BB12" s="23">
        <f t="shared" si="27"/>
        <v>16.558482049978039</v>
      </c>
      <c r="BC12" s="23">
        <f t="shared" si="28"/>
        <v>0</v>
      </c>
      <c r="BD12" s="23">
        <f t="shared" si="29"/>
        <v>16.558482049978039</v>
      </c>
    </row>
    <row r="13" spans="1:57" s="47" customFormat="1">
      <c r="A13" s="47" t="s">
        <v>20</v>
      </c>
      <c r="B13" s="47" t="s">
        <v>49</v>
      </c>
      <c r="C13" s="47" t="s">
        <v>22</v>
      </c>
      <c r="D13" s="47" t="s">
        <v>50</v>
      </c>
      <c r="E13" s="51" t="s">
        <v>107</v>
      </c>
      <c r="F13" s="51" t="s">
        <v>108</v>
      </c>
      <c r="G13" s="51" t="s">
        <v>109</v>
      </c>
      <c r="H13" s="47" t="s">
        <v>725</v>
      </c>
      <c r="I13" s="47" t="s">
        <v>147</v>
      </c>
      <c r="J13" s="51" t="s">
        <v>148</v>
      </c>
      <c r="K13" s="51" t="s">
        <v>112</v>
      </c>
      <c r="L13" s="51" t="s">
        <v>112</v>
      </c>
      <c r="M13" s="47">
        <v>2150741</v>
      </c>
      <c r="N13" s="52" t="s">
        <v>947</v>
      </c>
      <c r="O13" s="77">
        <f>DATE(2017,3,31)</f>
        <v>42825</v>
      </c>
      <c r="P13" s="77">
        <f>DATE(2022,6,24)</f>
        <v>44736</v>
      </c>
      <c r="Q13" s="51">
        <v>3555</v>
      </c>
      <c r="R13" s="49"/>
      <c r="S13" s="51">
        <v>2.5</v>
      </c>
      <c r="U13" s="47">
        <f t="shared" si="0"/>
        <v>1912</v>
      </c>
      <c r="V13" s="31">
        <f t="shared" si="1"/>
        <v>1.8593096234309623</v>
      </c>
      <c r="W13" s="31">
        <f t="shared" si="2"/>
        <v>678.64801255230122</v>
      </c>
      <c r="X13" s="31">
        <f t="shared" si="3"/>
        <v>0.84831001569037656</v>
      </c>
      <c r="Y13" s="31"/>
      <c r="Z13" s="31"/>
      <c r="AA13" s="32">
        <f t="shared" si="4"/>
        <v>42552</v>
      </c>
      <c r="AB13" s="77">
        <f t="shared" si="5"/>
        <v>42735</v>
      </c>
      <c r="AC13" s="49">
        <v>0</v>
      </c>
      <c r="AD13" s="47">
        <f t="shared" si="6"/>
        <v>0</v>
      </c>
      <c r="AE13" s="47">
        <f t="shared" si="7"/>
        <v>0</v>
      </c>
      <c r="AF13" s="47">
        <f t="shared" si="8"/>
        <v>0</v>
      </c>
      <c r="AG13" s="47">
        <f t="shared" si="9"/>
        <v>0</v>
      </c>
      <c r="AH13" s="47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O13" s="23"/>
      <c r="AP13" s="23"/>
      <c r="AQ13" s="32">
        <f t="shared" si="17"/>
        <v>42736</v>
      </c>
      <c r="AR13" s="73">
        <f t="shared" si="18"/>
        <v>42916</v>
      </c>
      <c r="AS13" s="52">
        <v>40</v>
      </c>
      <c r="AT13" s="47">
        <f t="shared" si="19"/>
        <v>0</v>
      </c>
      <c r="AU13" s="47">
        <f t="shared" si="20"/>
        <v>92</v>
      </c>
      <c r="AV13" s="47">
        <f t="shared" si="21"/>
        <v>0</v>
      </c>
      <c r="AW13" s="47">
        <f t="shared" si="22"/>
        <v>0</v>
      </c>
      <c r="AX13" s="47">
        <f t="shared" si="23"/>
        <v>0</v>
      </c>
      <c r="AY13" s="23">
        <f t="shared" si="24"/>
        <v>0.50828729281767959</v>
      </c>
      <c r="AZ13" s="23">
        <f t="shared" si="25"/>
        <v>0.43118520134538479</v>
      </c>
      <c r="BA13" s="23">
        <f t="shared" si="26"/>
        <v>17.247408053815391</v>
      </c>
      <c r="BB13" s="23">
        <f t="shared" si="27"/>
        <v>43.118520134538478</v>
      </c>
      <c r="BC13" s="23">
        <f t="shared" si="28"/>
        <v>21.559260067269239</v>
      </c>
      <c r="BD13" s="23">
        <f t="shared" si="29"/>
        <v>64.677780201807721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E12"/>
  <sheetViews>
    <sheetView topLeftCell="I1" workbookViewId="0">
      <selection activeCell="R12" sqref="R12"/>
    </sheetView>
  </sheetViews>
  <sheetFormatPr defaultRowHeight="15"/>
  <cols>
    <col min="4" max="4" width="23.42578125" customWidth="1"/>
    <col min="5" max="5" width="19.85546875" bestFit="1" customWidth="1"/>
    <col min="6" max="6" width="28.85546875" bestFit="1" customWidth="1"/>
    <col min="7" max="7" width="10" bestFit="1" customWidth="1"/>
    <col min="8" max="8" width="44.28515625" customWidth="1"/>
    <col min="9" max="9" width="41" bestFit="1" customWidth="1"/>
    <col min="14" max="14" width="84" customWidth="1"/>
    <col min="15" max="15" width="11.85546875" customWidth="1"/>
    <col min="16" max="16" width="12.28515625" customWidth="1"/>
    <col min="20" max="20" width="5" customWidth="1"/>
    <col min="25" max="25" width="4.7109375" customWidth="1"/>
    <col min="27" max="27" width="11.7109375" customWidth="1"/>
    <col min="28" max="28" width="12.28515625" customWidth="1"/>
    <col min="41" max="41" width="4.42578125" customWidth="1"/>
    <col min="43" max="43" width="10.85546875" customWidth="1"/>
    <col min="44" max="44" width="11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77.2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59" t="s">
        <v>71</v>
      </c>
      <c r="P2" s="59" t="s">
        <v>72</v>
      </c>
      <c r="Q2" s="60" t="s">
        <v>73</v>
      </c>
      <c r="R2" s="59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51</v>
      </c>
      <c r="C3" s="47" t="s">
        <v>22</v>
      </c>
      <c r="D3" s="47" t="s">
        <v>52</v>
      </c>
      <c r="E3" s="51" t="s">
        <v>154</v>
      </c>
      <c r="F3" s="51" t="s">
        <v>108</v>
      </c>
      <c r="G3" s="51" t="s">
        <v>109</v>
      </c>
      <c r="H3" s="47" t="s">
        <v>169</v>
      </c>
      <c r="I3" s="47" t="s">
        <v>116</v>
      </c>
      <c r="J3" s="51" t="s">
        <v>112</v>
      </c>
      <c r="K3" s="51" t="s">
        <v>112</v>
      </c>
      <c r="L3" s="51" t="s">
        <v>148</v>
      </c>
      <c r="M3" s="47">
        <v>1970138</v>
      </c>
      <c r="N3" s="50" t="s">
        <v>948</v>
      </c>
      <c r="O3" s="77">
        <f>DATE(2014,10,1)</f>
        <v>41913</v>
      </c>
      <c r="P3" s="77">
        <f>DATE(2016,11,30)</f>
        <v>42704</v>
      </c>
      <c r="Q3" s="51">
        <v>1680</v>
      </c>
      <c r="R3" s="49"/>
      <c r="S3" s="51">
        <v>2</v>
      </c>
      <c r="U3" s="47">
        <f t="shared" ref="U3:U12" si="0">P3-O3+1</f>
        <v>792</v>
      </c>
      <c r="V3" s="31">
        <f t="shared" ref="V3:V12" si="1">Q3/U3</f>
        <v>2.1212121212121211</v>
      </c>
      <c r="W3" s="31">
        <f t="shared" ref="W3:W12" si="2">IF(U3&gt;365,V3*365,Q3)</f>
        <v>774.24242424242425</v>
      </c>
      <c r="X3" s="31">
        <f t="shared" ref="X3:X12" si="3">IF(U3&gt;365,W3/800,Q3/800)</f>
        <v>0.96780303030303028</v>
      </c>
      <c r="Y3" s="31"/>
      <c r="Z3" s="31"/>
      <c r="AA3" s="32">
        <f t="shared" ref="AA3:AA12" si="4">DATE(2016,7,1)</f>
        <v>42552</v>
      </c>
      <c r="AB3" s="77">
        <f t="shared" ref="AB3:AB12" si="5">DATE(2016,12,31)</f>
        <v>42735</v>
      </c>
      <c r="AC3" s="50">
        <v>39</v>
      </c>
      <c r="AD3" s="47">
        <f t="shared" ref="AD3:AD12" si="6">IF(AND(O3&lt;AA3,P3&gt;AB3),AB3-AA3+1,0)</f>
        <v>0</v>
      </c>
      <c r="AE3" s="47">
        <f t="shared" ref="AE3:AE12" si="7">IF(AND(O3&gt;=AA3,P3&gt;AB3,O3&lt;AB3),AB3-O3+1,0)</f>
        <v>0</v>
      </c>
      <c r="AF3" s="47">
        <f t="shared" ref="AF3:AF12" si="8">IF(AND(O3&lt;AA3,P3&lt;=AB3,P3&gt;=AA3),P3-AA3+1,0)</f>
        <v>153</v>
      </c>
      <c r="AG3" s="47">
        <f t="shared" ref="AG3:AG12" si="9">IF(AND(O3&gt;=AA3,P3&lt;=AB3),P3-O3+1,0)</f>
        <v>0</v>
      </c>
      <c r="AH3" s="47">
        <f t="shared" ref="AH3:AH12" si="10">IF(AND(O3&lt;AA3,P3&lt;AA3),(AB3-AA3+1)/2,0)</f>
        <v>0</v>
      </c>
      <c r="AI3" s="23">
        <f t="shared" ref="AI3:AI12" si="11">SUM(AD3:AH3)/(AB3-AA3+1)</f>
        <v>0.83152173913043481</v>
      </c>
      <c r="AJ3" s="23">
        <f t="shared" ref="AJ3:AJ12" si="12">X3*AI3</f>
        <v>0.80474925889328064</v>
      </c>
      <c r="AK3" s="23">
        <f t="shared" ref="AK3:AK12" si="13">IF(AH3=0,AJ3*AC3,IF(AA3-P3&gt;1095,0,AJ3*(AC3/2)))</f>
        <v>31.385221096837945</v>
      </c>
      <c r="AL3" s="23">
        <f t="shared" ref="AL3:AL12" si="14">AK3*S3</f>
        <v>62.770442193675891</v>
      </c>
      <c r="AM3" s="23">
        <f t="shared" ref="AM3:AM12" si="15">IF(J3="SIM",AL3*50%,0)</f>
        <v>0</v>
      </c>
      <c r="AN3" s="23">
        <f t="shared" ref="AN3:AN12" si="16">AL3+AM3</f>
        <v>62.770442193675891</v>
      </c>
      <c r="AO3" s="23"/>
      <c r="AP3" s="23"/>
      <c r="AQ3" s="32">
        <f t="shared" ref="AQ3:AQ12" si="17">DATE(2017,1,1)</f>
        <v>42736</v>
      </c>
      <c r="AR3" s="77">
        <f t="shared" ref="AR3:AR12" si="18">DATE(2017,6,30)</f>
        <v>42916</v>
      </c>
      <c r="AS3" s="50">
        <v>21</v>
      </c>
      <c r="AT3" s="47">
        <f t="shared" ref="AT3:AT12" si="19">IF(AND(O3&lt;AQ3,P3&gt;AR3),AR3-AQ3+1,0)</f>
        <v>0</v>
      </c>
      <c r="AU3" s="47">
        <f t="shared" ref="AU3:AU12" si="20">IF(AND(O3&gt;=AQ3,P3&gt;AR3,O3&lt;AR3),AR3-O3+1,0)</f>
        <v>0</v>
      </c>
      <c r="AV3" s="47">
        <f t="shared" ref="AV3:AV12" si="21">IF(AND(O3&lt;AQ3,P3&lt;=AR3,P3&gt;=AQ3),P3-AQ3+1,0)</f>
        <v>0</v>
      </c>
      <c r="AW3" s="47">
        <f t="shared" ref="AW3:AW12" si="22">IF(AND(O3&gt;=AQ3,P3&lt;=AR3),P3-O3+1,0)</f>
        <v>0</v>
      </c>
      <c r="AX3" s="47">
        <f t="shared" ref="AX3:AX12" si="23">IF(AND(O3&lt;AQ3,P3&lt;AQ3),(AR3-AQ3+1)/2,0)</f>
        <v>90.5</v>
      </c>
      <c r="AY3" s="23">
        <f t="shared" ref="AY3:AY12" si="24">SUM(AT3:AX3)/(AR3-AQ3+1)</f>
        <v>0.5</v>
      </c>
      <c r="AZ3" s="23">
        <f t="shared" ref="AZ3:AZ12" si="25">X3*AY3</f>
        <v>0.48390151515151514</v>
      </c>
      <c r="BA3" s="23">
        <f t="shared" ref="BA3:BA12" si="26">IF(AX3=0,AZ3*AS3,IF(AQ3-P3&gt;1095,0,AZ3*(AS3/2)))</f>
        <v>5.0809659090909092</v>
      </c>
      <c r="BB3" s="23">
        <f t="shared" ref="BB3:BB12" si="27">BA3*S3</f>
        <v>10.161931818181818</v>
      </c>
      <c r="BC3" s="23">
        <f t="shared" ref="BC3:BC12" si="28">IF(J3="SIM",BB3*50%,0)</f>
        <v>0</v>
      </c>
      <c r="BD3" s="23">
        <f t="shared" ref="BD3:BD12" si="29">BB3+BC3</f>
        <v>10.161931818181818</v>
      </c>
    </row>
    <row r="4" spans="1:57" s="47" customFormat="1">
      <c r="A4" s="47" t="s">
        <v>20</v>
      </c>
      <c r="B4" s="47" t="s">
        <v>51</v>
      </c>
      <c r="C4" s="47" t="s">
        <v>22</v>
      </c>
      <c r="D4" s="47" t="s">
        <v>52</v>
      </c>
      <c r="E4" s="51" t="s">
        <v>154</v>
      </c>
      <c r="F4" s="51" t="s">
        <v>108</v>
      </c>
      <c r="G4" s="51" t="s">
        <v>109</v>
      </c>
      <c r="H4" s="47" t="s">
        <v>224</v>
      </c>
      <c r="I4" s="47" t="s">
        <v>167</v>
      </c>
      <c r="J4" s="51" t="s">
        <v>112</v>
      </c>
      <c r="K4" s="51" t="s">
        <v>112</v>
      </c>
      <c r="L4" s="51" t="s">
        <v>148</v>
      </c>
      <c r="M4" s="47">
        <v>1970484</v>
      </c>
      <c r="N4" s="50" t="s">
        <v>949</v>
      </c>
      <c r="O4" s="77">
        <f>DATE(2014,10,1)</f>
        <v>41913</v>
      </c>
      <c r="P4" s="77">
        <f>DATE(2016,11,30)</f>
        <v>42704</v>
      </c>
      <c r="Q4" s="51">
        <v>1680</v>
      </c>
      <c r="R4" s="49"/>
      <c r="S4" s="51">
        <v>1</v>
      </c>
      <c r="U4" s="47">
        <f t="shared" si="0"/>
        <v>792</v>
      </c>
      <c r="V4" s="31">
        <f t="shared" si="1"/>
        <v>2.1212121212121211</v>
      </c>
      <c r="W4" s="31">
        <f t="shared" si="2"/>
        <v>774.24242424242425</v>
      </c>
      <c r="X4" s="31">
        <f t="shared" si="3"/>
        <v>0.96780303030303028</v>
      </c>
      <c r="Y4" s="31"/>
      <c r="Z4" s="31"/>
      <c r="AA4" s="32">
        <f t="shared" si="4"/>
        <v>42552</v>
      </c>
      <c r="AB4" s="77">
        <f t="shared" si="5"/>
        <v>42735</v>
      </c>
      <c r="AC4" s="50">
        <v>50</v>
      </c>
      <c r="AD4" s="47">
        <f t="shared" si="6"/>
        <v>0</v>
      </c>
      <c r="AE4" s="47">
        <f t="shared" si="7"/>
        <v>0</v>
      </c>
      <c r="AF4" s="47">
        <f t="shared" si="8"/>
        <v>153</v>
      </c>
      <c r="AG4" s="47">
        <f t="shared" si="9"/>
        <v>0</v>
      </c>
      <c r="AH4" s="47">
        <f t="shared" si="10"/>
        <v>0</v>
      </c>
      <c r="AI4" s="23">
        <f t="shared" si="11"/>
        <v>0.83152173913043481</v>
      </c>
      <c r="AJ4" s="23">
        <f t="shared" si="12"/>
        <v>0.80474925889328064</v>
      </c>
      <c r="AK4" s="23">
        <f t="shared" si="13"/>
        <v>40.237462944664031</v>
      </c>
      <c r="AL4" s="23">
        <f t="shared" si="14"/>
        <v>40.237462944664031</v>
      </c>
      <c r="AM4" s="23">
        <f t="shared" si="15"/>
        <v>0</v>
      </c>
      <c r="AN4" s="23">
        <f t="shared" si="16"/>
        <v>40.237462944664031</v>
      </c>
      <c r="AO4" s="23"/>
      <c r="AP4" s="23"/>
      <c r="AQ4" s="32">
        <f t="shared" si="17"/>
        <v>42736</v>
      </c>
      <c r="AR4" s="77">
        <f t="shared" si="18"/>
        <v>42916</v>
      </c>
      <c r="AS4" s="50">
        <v>14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0.48390151515151514</v>
      </c>
      <c r="BA4" s="23">
        <f t="shared" si="26"/>
        <v>3.387310606060606</v>
      </c>
      <c r="BB4" s="23">
        <f t="shared" si="27"/>
        <v>3.387310606060606</v>
      </c>
      <c r="BC4" s="23">
        <f t="shared" si="28"/>
        <v>0</v>
      </c>
      <c r="BD4" s="23">
        <f t="shared" si="29"/>
        <v>3.387310606060606</v>
      </c>
    </row>
    <row r="5" spans="1:57" s="47" customFormat="1">
      <c r="A5" s="47" t="s">
        <v>20</v>
      </c>
      <c r="B5" s="47" t="s">
        <v>51</v>
      </c>
      <c r="C5" s="47" t="s">
        <v>22</v>
      </c>
      <c r="D5" s="47" t="s">
        <v>52</v>
      </c>
      <c r="E5" s="51" t="s">
        <v>107</v>
      </c>
      <c r="F5" s="51" t="s">
        <v>108</v>
      </c>
      <c r="G5" s="51" t="s">
        <v>109</v>
      </c>
      <c r="H5" s="47" t="s">
        <v>110</v>
      </c>
      <c r="I5" s="47" t="s">
        <v>111</v>
      </c>
      <c r="J5" s="51" t="s">
        <v>112</v>
      </c>
      <c r="K5" s="51" t="s">
        <v>112</v>
      </c>
      <c r="L5" s="51" t="s">
        <v>112</v>
      </c>
      <c r="M5" s="47">
        <v>1989006</v>
      </c>
      <c r="N5" s="51" t="s">
        <v>950</v>
      </c>
      <c r="O5" s="77">
        <f>DATE(2015,6,15)</f>
        <v>42170</v>
      </c>
      <c r="P5" s="77">
        <f>DATE(2017,6,15)</f>
        <v>42901</v>
      </c>
      <c r="Q5" s="51">
        <v>1200</v>
      </c>
      <c r="R5" s="49"/>
      <c r="S5" s="51">
        <v>2</v>
      </c>
      <c r="U5" s="47">
        <f t="shared" si="0"/>
        <v>732</v>
      </c>
      <c r="V5" s="31">
        <f t="shared" si="1"/>
        <v>1.639344262295082</v>
      </c>
      <c r="W5" s="31">
        <f t="shared" si="2"/>
        <v>598.36065573770497</v>
      </c>
      <c r="X5" s="31">
        <f t="shared" si="3"/>
        <v>0.74795081967213117</v>
      </c>
      <c r="Y5" s="31"/>
      <c r="Z5" s="31"/>
      <c r="AA5" s="32">
        <f t="shared" si="4"/>
        <v>42552</v>
      </c>
      <c r="AB5" s="77">
        <f t="shared" si="5"/>
        <v>42735</v>
      </c>
      <c r="AC5" s="51">
        <v>145</v>
      </c>
      <c r="AD5" s="47">
        <f t="shared" si="6"/>
        <v>184</v>
      </c>
      <c r="AE5" s="47">
        <f t="shared" si="7"/>
        <v>0</v>
      </c>
      <c r="AF5" s="47">
        <f t="shared" si="8"/>
        <v>0</v>
      </c>
      <c r="AG5" s="47">
        <f t="shared" si="9"/>
        <v>0</v>
      </c>
      <c r="AH5" s="47">
        <f t="shared" si="10"/>
        <v>0</v>
      </c>
      <c r="AI5" s="23">
        <f t="shared" si="11"/>
        <v>1</v>
      </c>
      <c r="AJ5" s="23">
        <f t="shared" si="12"/>
        <v>0.74795081967213117</v>
      </c>
      <c r="AK5" s="23">
        <f t="shared" si="13"/>
        <v>108.45286885245902</v>
      </c>
      <c r="AL5" s="23">
        <f t="shared" si="14"/>
        <v>216.90573770491804</v>
      </c>
      <c r="AM5" s="23">
        <f t="shared" si="15"/>
        <v>0</v>
      </c>
      <c r="AN5" s="23">
        <f t="shared" si="16"/>
        <v>216.90573770491804</v>
      </c>
      <c r="AO5" s="23"/>
      <c r="AP5" s="23"/>
      <c r="AQ5" s="32">
        <f t="shared" si="17"/>
        <v>42736</v>
      </c>
      <c r="AR5" s="77">
        <f t="shared" si="18"/>
        <v>42916</v>
      </c>
      <c r="AS5" s="51">
        <v>130</v>
      </c>
      <c r="AT5" s="47">
        <f t="shared" si="19"/>
        <v>0</v>
      </c>
      <c r="AU5" s="47">
        <f t="shared" si="20"/>
        <v>0</v>
      </c>
      <c r="AV5" s="47">
        <f t="shared" si="21"/>
        <v>166</v>
      </c>
      <c r="AW5" s="47">
        <f t="shared" si="22"/>
        <v>0</v>
      </c>
      <c r="AX5" s="47">
        <f t="shared" si="23"/>
        <v>0</v>
      </c>
      <c r="AY5" s="23">
        <f t="shared" si="24"/>
        <v>0.91712707182320441</v>
      </c>
      <c r="AZ5" s="23">
        <f t="shared" si="25"/>
        <v>0.68596594511366726</v>
      </c>
      <c r="BA5" s="23">
        <f t="shared" si="26"/>
        <v>89.17557286477674</v>
      </c>
      <c r="BB5" s="23">
        <f t="shared" si="27"/>
        <v>178.35114572955348</v>
      </c>
      <c r="BC5" s="23">
        <f t="shared" si="28"/>
        <v>0</v>
      </c>
      <c r="BD5" s="23">
        <f t="shared" si="29"/>
        <v>178.35114572955348</v>
      </c>
    </row>
    <row r="6" spans="1:57" s="47" customFormat="1">
      <c r="A6" s="47" t="s">
        <v>20</v>
      </c>
      <c r="B6" s="47" t="s">
        <v>51</v>
      </c>
      <c r="C6" s="47" t="s">
        <v>22</v>
      </c>
      <c r="D6" s="47" t="s">
        <v>52</v>
      </c>
      <c r="E6" s="51" t="s">
        <v>107</v>
      </c>
      <c r="F6" s="51" t="s">
        <v>108</v>
      </c>
      <c r="G6" s="51" t="s">
        <v>109</v>
      </c>
      <c r="H6" s="47" t="s">
        <v>110</v>
      </c>
      <c r="I6" s="47" t="s">
        <v>111</v>
      </c>
      <c r="J6" s="51" t="s">
        <v>112</v>
      </c>
      <c r="K6" s="51" t="s">
        <v>112</v>
      </c>
      <c r="L6" s="51" t="s">
        <v>112</v>
      </c>
      <c r="M6" s="47">
        <v>2025923</v>
      </c>
      <c r="N6" s="52" t="s">
        <v>951</v>
      </c>
      <c r="O6" s="77">
        <f>DATE(2016,4,19)</f>
        <v>42479</v>
      </c>
      <c r="P6" s="77">
        <f>DATE(2018,4,19)</f>
        <v>43209</v>
      </c>
      <c r="Q6" s="51">
        <v>1200</v>
      </c>
      <c r="R6" s="49"/>
      <c r="S6" s="51">
        <v>2</v>
      </c>
      <c r="U6" s="47">
        <f t="shared" si="0"/>
        <v>731</v>
      </c>
      <c r="V6" s="31">
        <f t="shared" si="1"/>
        <v>1.6415868673050615</v>
      </c>
      <c r="W6" s="31">
        <f t="shared" si="2"/>
        <v>599.17920656634749</v>
      </c>
      <c r="X6" s="31">
        <f t="shared" si="3"/>
        <v>0.74897400820793436</v>
      </c>
      <c r="Y6" s="31"/>
      <c r="Z6" s="31"/>
      <c r="AA6" s="32">
        <f t="shared" si="4"/>
        <v>42552</v>
      </c>
      <c r="AB6" s="77">
        <f t="shared" si="5"/>
        <v>42735</v>
      </c>
      <c r="AC6" s="52">
        <v>83</v>
      </c>
      <c r="AD6" s="47">
        <f t="shared" si="6"/>
        <v>184</v>
      </c>
      <c r="AE6" s="47">
        <f t="shared" si="7"/>
        <v>0</v>
      </c>
      <c r="AF6" s="47">
        <f t="shared" si="8"/>
        <v>0</v>
      </c>
      <c r="AG6" s="47">
        <f t="shared" si="9"/>
        <v>0</v>
      </c>
      <c r="AH6" s="47">
        <f t="shared" si="10"/>
        <v>0</v>
      </c>
      <c r="AI6" s="23">
        <f t="shared" si="11"/>
        <v>1</v>
      </c>
      <c r="AJ6" s="23">
        <f t="shared" si="12"/>
        <v>0.74897400820793436</v>
      </c>
      <c r="AK6" s="23">
        <f t="shared" si="13"/>
        <v>62.164842681258548</v>
      </c>
      <c r="AL6" s="23">
        <f t="shared" si="14"/>
        <v>124.3296853625171</v>
      </c>
      <c r="AM6" s="23">
        <f t="shared" si="15"/>
        <v>0</v>
      </c>
      <c r="AN6" s="23">
        <f t="shared" si="16"/>
        <v>124.3296853625171</v>
      </c>
      <c r="AO6" s="23"/>
      <c r="AP6" s="23"/>
      <c r="AQ6" s="32">
        <f t="shared" si="17"/>
        <v>42736</v>
      </c>
      <c r="AR6" s="77">
        <f t="shared" si="18"/>
        <v>42916</v>
      </c>
      <c r="AS6" s="52">
        <v>83</v>
      </c>
      <c r="AT6" s="47">
        <f t="shared" si="19"/>
        <v>181</v>
      </c>
      <c r="AU6" s="47">
        <f t="shared" si="20"/>
        <v>0</v>
      </c>
      <c r="AV6" s="47">
        <f t="shared" si="21"/>
        <v>0</v>
      </c>
      <c r="AW6" s="47">
        <f t="shared" si="22"/>
        <v>0</v>
      </c>
      <c r="AX6" s="47">
        <f t="shared" si="23"/>
        <v>0</v>
      </c>
      <c r="AY6" s="23">
        <f t="shared" si="24"/>
        <v>1</v>
      </c>
      <c r="AZ6" s="23">
        <f t="shared" si="25"/>
        <v>0.74897400820793436</v>
      </c>
      <c r="BA6" s="23">
        <f t="shared" si="26"/>
        <v>62.164842681258548</v>
      </c>
      <c r="BB6" s="23">
        <f t="shared" si="27"/>
        <v>124.3296853625171</v>
      </c>
      <c r="BC6" s="23">
        <f t="shared" si="28"/>
        <v>0</v>
      </c>
      <c r="BD6" s="23">
        <f t="shared" si="29"/>
        <v>124.3296853625171</v>
      </c>
    </row>
    <row r="7" spans="1:57" s="47" customFormat="1">
      <c r="A7" s="47" t="s">
        <v>20</v>
      </c>
      <c r="B7" s="47" t="s">
        <v>51</v>
      </c>
      <c r="C7" s="47" t="s">
        <v>22</v>
      </c>
      <c r="D7" s="47" t="s">
        <v>52</v>
      </c>
      <c r="E7" s="51" t="s">
        <v>107</v>
      </c>
      <c r="F7" s="51" t="s">
        <v>108</v>
      </c>
      <c r="G7" s="51" t="s">
        <v>109</v>
      </c>
      <c r="H7" s="47" t="s">
        <v>110</v>
      </c>
      <c r="I7" s="47" t="s">
        <v>111</v>
      </c>
      <c r="J7" s="51" t="s">
        <v>112</v>
      </c>
      <c r="K7" s="51" t="s">
        <v>112</v>
      </c>
      <c r="L7" s="51" t="s">
        <v>112</v>
      </c>
      <c r="M7" s="47">
        <v>2027620</v>
      </c>
      <c r="N7" s="52" t="s">
        <v>952</v>
      </c>
      <c r="O7" s="77">
        <f>DATE(2016,5,26)</f>
        <v>42516</v>
      </c>
      <c r="P7" s="77">
        <f>DATE(2018,5,26)</f>
        <v>43246</v>
      </c>
      <c r="Q7" s="51">
        <v>1200</v>
      </c>
      <c r="R7" s="49"/>
      <c r="S7" s="51">
        <v>2</v>
      </c>
      <c r="U7" s="47">
        <f t="shared" si="0"/>
        <v>731</v>
      </c>
      <c r="V7" s="31">
        <f t="shared" si="1"/>
        <v>1.6415868673050615</v>
      </c>
      <c r="W7" s="31">
        <f t="shared" si="2"/>
        <v>599.17920656634749</v>
      </c>
      <c r="X7" s="31">
        <f t="shared" si="3"/>
        <v>0.74897400820793436</v>
      </c>
      <c r="Y7" s="31"/>
      <c r="Z7" s="31"/>
      <c r="AA7" s="32">
        <f t="shared" si="4"/>
        <v>42552</v>
      </c>
      <c r="AB7" s="77">
        <f t="shared" si="5"/>
        <v>42735</v>
      </c>
      <c r="AC7" s="52">
        <v>79</v>
      </c>
      <c r="AD7" s="47">
        <f t="shared" si="6"/>
        <v>184</v>
      </c>
      <c r="AE7" s="47">
        <f t="shared" si="7"/>
        <v>0</v>
      </c>
      <c r="AF7" s="47">
        <f t="shared" si="8"/>
        <v>0</v>
      </c>
      <c r="AG7" s="47">
        <f t="shared" si="9"/>
        <v>0</v>
      </c>
      <c r="AH7" s="47">
        <f t="shared" si="10"/>
        <v>0</v>
      </c>
      <c r="AI7" s="23">
        <f t="shared" si="11"/>
        <v>1</v>
      </c>
      <c r="AJ7" s="23">
        <f t="shared" si="12"/>
        <v>0.74897400820793436</v>
      </c>
      <c r="AK7" s="23">
        <f t="shared" si="13"/>
        <v>59.168946648426811</v>
      </c>
      <c r="AL7" s="23">
        <f t="shared" si="14"/>
        <v>118.33789329685362</v>
      </c>
      <c r="AM7" s="23">
        <f t="shared" si="15"/>
        <v>0</v>
      </c>
      <c r="AN7" s="23">
        <f t="shared" si="16"/>
        <v>118.33789329685362</v>
      </c>
      <c r="AO7" s="23"/>
      <c r="AP7" s="23"/>
      <c r="AQ7" s="32">
        <f t="shared" si="17"/>
        <v>42736</v>
      </c>
      <c r="AR7" s="77">
        <f t="shared" si="18"/>
        <v>42916</v>
      </c>
      <c r="AS7" s="52">
        <v>79</v>
      </c>
      <c r="AT7" s="47">
        <f t="shared" si="19"/>
        <v>181</v>
      </c>
      <c r="AU7" s="47">
        <f t="shared" si="20"/>
        <v>0</v>
      </c>
      <c r="AV7" s="47">
        <f t="shared" si="21"/>
        <v>0</v>
      </c>
      <c r="AW7" s="47">
        <f t="shared" si="22"/>
        <v>0</v>
      </c>
      <c r="AX7" s="47">
        <f t="shared" si="23"/>
        <v>0</v>
      </c>
      <c r="AY7" s="23">
        <f t="shared" si="24"/>
        <v>1</v>
      </c>
      <c r="AZ7" s="23">
        <f t="shared" si="25"/>
        <v>0.74897400820793436</v>
      </c>
      <c r="BA7" s="23">
        <f t="shared" si="26"/>
        <v>59.168946648426811</v>
      </c>
      <c r="BB7" s="23">
        <f t="shared" si="27"/>
        <v>118.33789329685362</v>
      </c>
      <c r="BC7" s="23">
        <f t="shared" si="28"/>
        <v>0</v>
      </c>
      <c r="BD7" s="23">
        <f t="shared" si="29"/>
        <v>118.33789329685362</v>
      </c>
    </row>
    <row r="8" spans="1:57" s="47" customFormat="1">
      <c r="A8" s="47" t="s">
        <v>20</v>
      </c>
      <c r="B8" s="47" t="s">
        <v>51</v>
      </c>
      <c r="C8" s="47" t="s">
        <v>22</v>
      </c>
      <c r="D8" s="47" t="s">
        <v>52</v>
      </c>
      <c r="E8" s="51" t="s">
        <v>107</v>
      </c>
      <c r="F8" s="51" t="s">
        <v>232</v>
      </c>
      <c r="G8" s="51" t="s">
        <v>109</v>
      </c>
      <c r="H8" s="47" t="s">
        <v>953</v>
      </c>
      <c r="I8" s="47" t="s">
        <v>111</v>
      </c>
      <c r="J8" s="51" t="s">
        <v>112</v>
      </c>
      <c r="K8" s="51" t="s">
        <v>112</v>
      </c>
      <c r="L8" s="51" t="s">
        <v>112</v>
      </c>
      <c r="M8" s="47">
        <v>2032047</v>
      </c>
      <c r="N8" s="52" t="s">
        <v>954</v>
      </c>
      <c r="O8" s="77">
        <f>DATE(2016,6,7)</f>
        <v>42528</v>
      </c>
      <c r="P8" s="77">
        <f>DATE(2018,10,7)</f>
        <v>43380</v>
      </c>
      <c r="Q8" s="51">
        <v>1900</v>
      </c>
      <c r="R8" s="49"/>
      <c r="S8" s="51">
        <v>1</v>
      </c>
      <c r="U8" s="47">
        <f t="shared" si="0"/>
        <v>853</v>
      </c>
      <c r="V8" s="31">
        <f t="shared" si="1"/>
        <v>2.2274325908558033</v>
      </c>
      <c r="W8" s="31">
        <f t="shared" si="2"/>
        <v>813.01289566236824</v>
      </c>
      <c r="X8" s="31">
        <f t="shared" si="3"/>
        <v>1.0162661195779603</v>
      </c>
      <c r="Y8" s="31"/>
      <c r="Z8" s="31"/>
      <c r="AA8" s="32">
        <f t="shared" si="4"/>
        <v>42552</v>
      </c>
      <c r="AB8" s="77">
        <f t="shared" si="5"/>
        <v>42735</v>
      </c>
      <c r="AC8" s="52">
        <v>118</v>
      </c>
      <c r="AD8" s="47">
        <f t="shared" si="6"/>
        <v>184</v>
      </c>
      <c r="AE8" s="47">
        <f t="shared" si="7"/>
        <v>0</v>
      </c>
      <c r="AF8" s="47">
        <f t="shared" si="8"/>
        <v>0</v>
      </c>
      <c r="AG8" s="47">
        <f t="shared" si="9"/>
        <v>0</v>
      </c>
      <c r="AH8" s="47">
        <f t="shared" si="10"/>
        <v>0</v>
      </c>
      <c r="AI8" s="23">
        <f t="shared" si="11"/>
        <v>1</v>
      </c>
      <c r="AJ8" s="23">
        <f t="shared" si="12"/>
        <v>1.0162661195779603</v>
      </c>
      <c r="AK8" s="23">
        <f t="shared" si="13"/>
        <v>119.91940211019931</v>
      </c>
      <c r="AL8" s="23">
        <f t="shared" si="14"/>
        <v>119.91940211019931</v>
      </c>
      <c r="AM8" s="23">
        <f t="shared" si="15"/>
        <v>0</v>
      </c>
      <c r="AN8" s="23">
        <f t="shared" si="16"/>
        <v>119.91940211019931</v>
      </c>
      <c r="AO8" s="23"/>
      <c r="AP8" s="23"/>
      <c r="AQ8" s="32">
        <f t="shared" si="17"/>
        <v>42736</v>
      </c>
      <c r="AR8" s="77">
        <f t="shared" si="18"/>
        <v>42916</v>
      </c>
      <c r="AS8" s="52">
        <v>142</v>
      </c>
      <c r="AT8" s="47">
        <f t="shared" si="19"/>
        <v>181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0</v>
      </c>
      <c r="AY8" s="23">
        <f t="shared" si="24"/>
        <v>1</v>
      </c>
      <c r="AZ8" s="23">
        <f t="shared" si="25"/>
        <v>1.0162661195779603</v>
      </c>
      <c r="BA8" s="23">
        <f t="shared" si="26"/>
        <v>144.30978898007035</v>
      </c>
      <c r="BB8" s="23">
        <f t="shared" si="27"/>
        <v>144.30978898007035</v>
      </c>
      <c r="BC8" s="23">
        <f t="shared" si="28"/>
        <v>0</v>
      </c>
      <c r="BD8" s="23">
        <f t="shared" si="29"/>
        <v>144.30978898007035</v>
      </c>
    </row>
    <row r="9" spans="1:57" s="47" customFormat="1">
      <c r="A9" s="47" t="s">
        <v>20</v>
      </c>
      <c r="B9" s="47" t="s">
        <v>51</v>
      </c>
      <c r="C9" s="47" t="s">
        <v>22</v>
      </c>
      <c r="D9" s="47" t="s">
        <v>52</v>
      </c>
      <c r="E9" s="51" t="s">
        <v>107</v>
      </c>
      <c r="F9" s="51" t="s">
        <v>439</v>
      </c>
      <c r="G9" s="51" t="s">
        <v>109</v>
      </c>
      <c r="H9" s="47" t="s">
        <v>925</v>
      </c>
      <c r="I9" s="47" t="s">
        <v>167</v>
      </c>
      <c r="J9" s="51" t="s">
        <v>112</v>
      </c>
      <c r="K9" s="51" t="s">
        <v>112</v>
      </c>
      <c r="L9" s="51" t="s">
        <v>112</v>
      </c>
      <c r="M9" s="47">
        <v>2032053</v>
      </c>
      <c r="N9" s="52" t="s">
        <v>955</v>
      </c>
      <c r="O9" s="77">
        <f>DATE(2016,6,13)</f>
        <v>42534</v>
      </c>
      <c r="P9" s="77">
        <f>DATE(2018,12,28)</f>
        <v>43462</v>
      </c>
      <c r="Q9" s="51">
        <v>640</v>
      </c>
      <c r="R9" s="49"/>
      <c r="S9" s="51">
        <v>1</v>
      </c>
      <c r="U9" s="47">
        <f t="shared" si="0"/>
        <v>929</v>
      </c>
      <c r="V9" s="31">
        <f t="shared" si="1"/>
        <v>0.68891280947255118</v>
      </c>
      <c r="W9" s="31">
        <f t="shared" si="2"/>
        <v>251.45317545748119</v>
      </c>
      <c r="X9" s="31">
        <f t="shared" si="3"/>
        <v>0.31431646932185148</v>
      </c>
      <c r="Y9" s="31"/>
      <c r="Z9" s="31"/>
      <c r="AA9" s="32">
        <f t="shared" si="4"/>
        <v>42552</v>
      </c>
      <c r="AB9" s="77">
        <f t="shared" si="5"/>
        <v>42735</v>
      </c>
      <c r="AC9" s="52">
        <v>55</v>
      </c>
      <c r="AD9" s="47">
        <f t="shared" si="6"/>
        <v>184</v>
      </c>
      <c r="AE9" s="47">
        <f t="shared" si="7"/>
        <v>0</v>
      </c>
      <c r="AF9" s="47">
        <f t="shared" si="8"/>
        <v>0</v>
      </c>
      <c r="AG9" s="47">
        <f t="shared" si="9"/>
        <v>0</v>
      </c>
      <c r="AH9" s="47">
        <f t="shared" si="10"/>
        <v>0</v>
      </c>
      <c r="AI9" s="23">
        <f t="shared" si="11"/>
        <v>1</v>
      </c>
      <c r="AJ9" s="23">
        <f t="shared" si="12"/>
        <v>0.31431646932185148</v>
      </c>
      <c r="AK9" s="23">
        <f t="shared" si="13"/>
        <v>17.287405812701831</v>
      </c>
      <c r="AL9" s="23">
        <f t="shared" si="14"/>
        <v>17.287405812701831</v>
      </c>
      <c r="AM9" s="23">
        <f t="shared" si="15"/>
        <v>0</v>
      </c>
      <c r="AN9" s="23">
        <f t="shared" si="16"/>
        <v>17.287405812701831</v>
      </c>
      <c r="AO9" s="23"/>
      <c r="AP9" s="23"/>
      <c r="AQ9" s="32">
        <f t="shared" si="17"/>
        <v>42736</v>
      </c>
      <c r="AR9" s="77">
        <f t="shared" si="18"/>
        <v>42916</v>
      </c>
      <c r="AS9" s="52">
        <v>50</v>
      </c>
      <c r="AT9" s="47">
        <f t="shared" si="19"/>
        <v>181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0</v>
      </c>
      <c r="AY9" s="23">
        <f t="shared" si="24"/>
        <v>1</v>
      </c>
      <c r="AZ9" s="23">
        <f t="shared" si="25"/>
        <v>0.31431646932185148</v>
      </c>
      <c r="BA9" s="23">
        <f t="shared" si="26"/>
        <v>15.715823466092575</v>
      </c>
      <c r="BB9" s="23">
        <f t="shared" si="27"/>
        <v>15.715823466092575</v>
      </c>
      <c r="BC9" s="23">
        <f t="shared" si="28"/>
        <v>0</v>
      </c>
      <c r="BD9" s="23">
        <f t="shared" si="29"/>
        <v>15.715823466092575</v>
      </c>
    </row>
    <row r="10" spans="1:57" s="47" customFormat="1">
      <c r="A10" s="47" t="s">
        <v>20</v>
      </c>
      <c r="B10" s="47" t="s">
        <v>51</v>
      </c>
      <c r="C10" s="47" t="s">
        <v>22</v>
      </c>
      <c r="D10" s="47" t="s">
        <v>52</v>
      </c>
      <c r="E10" s="51" t="s">
        <v>107</v>
      </c>
      <c r="F10" s="51" t="s">
        <v>108</v>
      </c>
      <c r="G10" s="51" t="s">
        <v>109</v>
      </c>
      <c r="H10" s="47" t="s">
        <v>136</v>
      </c>
      <c r="I10" s="47" t="s">
        <v>131</v>
      </c>
      <c r="J10" s="51" t="s">
        <v>112</v>
      </c>
      <c r="K10" s="51" t="s">
        <v>112</v>
      </c>
      <c r="L10" s="51" t="s">
        <v>112</v>
      </c>
      <c r="M10" s="47">
        <v>2144320</v>
      </c>
      <c r="N10" s="52" t="s">
        <v>956</v>
      </c>
      <c r="O10" s="77">
        <f>DATE(2017,3,8)</f>
        <v>42802</v>
      </c>
      <c r="P10" s="77">
        <f>DATE(2020,3,8)</f>
        <v>43898</v>
      </c>
      <c r="Q10" s="51">
        <v>4220</v>
      </c>
      <c r="R10" s="49"/>
      <c r="S10" s="51">
        <v>1</v>
      </c>
      <c r="U10" s="47">
        <f t="shared" si="0"/>
        <v>1097</v>
      </c>
      <c r="V10" s="31">
        <f t="shared" si="1"/>
        <v>3.846855059252507</v>
      </c>
      <c r="W10" s="31">
        <f t="shared" si="2"/>
        <v>1404.1020966271651</v>
      </c>
      <c r="X10" s="31">
        <f t="shared" si="3"/>
        <v>1.7551276207839563</v>
      </c>
      <c r="Y10" s="31"/>
      <c r="Z10" s="31"/>
      <c r="AA10" s="32">
        <f t="shared" si="4"/>
        <v>42552</v>
      </c>
      <c r="AB10" s="77">
        <f t="shared" si="5"/>
        <v>42735</v>
      </c>
      <c r="AC10" s="49">
        <v>0</v>
      </c>
      <c r="AD10" s="47">
        <f t="shared" si="6"/>
        <v>0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0</v>
      </c>
      <c r="AJ10" s="23">
        <f t="shared" si="12"/>
        <v>0</v>
      </c>
      <c r="AK10" s="23">
        <f t="shared" si="13"/>
        <v>0</v>
      </c>
      <c r="AL10" s="23">
        <f t="shared" si="14"/>
        <v>0</v>
      </c>
      <c r="AM10" s="23">
        <f t="shared" si="15"/>
        <v>0</v>
      </c>
      <c r="AN10" s="23">
        <f t="shared" si="16"/>
        <v>0</v>
      </c>
      <c r="AO10" s="23"/>
      <c r="AP10" s="23"/>
      <c r="AQ10" s="32">
        <f t="shared" si="17"/>
        <v>42736</v>
      </c>
      <c r="AR10" s="77">
        <f t="shared" si="18"/>
        <v>42916</v>
      </c>
      <c r="AS10" s="52">
        <v>40</v>
      </c>
      <c r="AT10" s="47">
        <f t="shared" si="19"/>
        <v>0</v>
      </c>
      <c r="AU10" s="47">
        <f t="shared" si="20"/>
        <v>115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0.63535911602209949</v>
      </c>
      <c r="AZ10" s="23">
        <f t="shared" si="25"/>
        <v>1.1151363336472651</v>
      </c>
      <c r="BA10" s="23">
        <f t="shared" si="26"/>
        <v>44.605453345890602</v>
      </c>
      <c r="BB10" s="23">
        <f t="shared" si="27"/>
        <v>44.605453345890602</v>
      </c>
      <c r="BC10" s="23">
        <f t="shared" si="28"/>
        <v>0</v>
      </c>
      <c r="BD10" s="23">
        <f t="shared" si="29"/>
        <v>44.605453345890602</v>
      </c>
    </row>
    <row r="11" spans="1:57" s="47" customFormat="1">
      <c r="A11" s="74" t="s">
        <v>20</v>
      </c>
      <c r="B11" s="47" t="s">
        <v>51</v>
      </c>
      <c r="C11" s="47" t="s">
        <v>22</v>
      </c>
      <c r="D11" s="47" t="s">
        <v>52</v>
      </c>
      <c r="E11" s="51" t="s">
        <v>107</v>
      </c>
      <c r="F11" s="51" t="s">
        <v>108</v>
      </c>
      <c r="G11" s="51" t="s">
        <v>109</v>
      </c>
      <c r="H11" s="47" t="s">
        <v>110</v>
      </c>
      <c r="I11" s="47" t="s">
        <v>111</v>
      </c>
      <c r="J11" s="51" t="s">
        <v>112</v>
      </c>
      <c r="K11" s="51" t="s">
        <v>112</v>
      </c>
      <c r="L11" s="51" t="s">
        <v>112</v>
      </c>
      <c r="M11" s="47">
        <v>2144321</v>
      </c>
      <c r="N11" s="52" t="s">
        <v>957</v>
      </c>
      <c r="O11" s="77">
        <f>DATE(2017,3,8)</f>
        <v>42802</v>
      </c>
      <c r="P11" s="77">
        <f>DATE(2020,3,8)</f>
        <v>43898</v>
      </c>
      <c r="Q11" s="51">
        <v>4260</v>
      </c>
      <c r="R11" s="49"/>
      <c r="S11" s="51">
        <v>2</v>
      </c>
      <c r="U11" s="47">
        <f t="shared" si="0"/>
        <v>1097</v>
      </c>
      <c r="V11" s="31">
        <f t="shared" si="1"/>
        <v>3.8833181403828623</v>
      </c>
      <c r="W11" s="31">
        <f t="shared" si="2"/>
        <v>1417.4111212397447</v>
      </c>
      <c r="X11" s="31">
        <f t="shared" si="3"/>
        <v>1.7717639015496809</v>
      </c>
      <c r="Y11" s="31"/>
      <c r="Z11" s="31"/>
      <c r="AA11" s="32">
        <f t="shared" si="4"/>
        <v>42552</v>
      </c>
      <c r="AB11" s="77">
        <f t="shared" si="5"/>
        <v>42735</v>
      </c>
      <c r="AC11" s="49">
        <v>0</v>
      </c>
      <c r="AD11" s="47">
        <f t="shared" si="6"/>
        <v>0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O11" s="23"/>
      <c r="AP11" s="23"/>
      <c r="AQ11" s="32">
        <f t="shared" si="17"/>
        <v>42736</v>
      </c>
      <c r="AR11" s="77">
        <f t="shared" si="18"/>
        <v>42916</v>
      </c>
      <c r="AS11" s="52">
        <v>81</v>
      </c>
      <c r="AT11" s="47">
        <f t="shared" si="19"/>
        <v>0</v>
      </c>
      <c r="AU11" s="47">
        <f t="shared" si="20"/>
        <v>115</v>
      </c>
      <c r="AV11" s="47">
        <f t="shared" si="21"/>
        <v>0</v>
      </c>
      <c r="AW11" s="47">
        <f t="shared" si="22"/>
        <v>0</v>
      </c>
      <c r="AX11" s="47">
        <f t="shared" si="23"/>
        <v>0</v>
      </c>
      <c r="AY11" s="23">
        <f t="shared" si="24"/>
        <v>0.63535911602209949</v>
      </c>
      <c r="AZ11" s="23">
        <f t="shared" si="25"/>
        <v>1.1257063462884713</v>
      </c>
      <c r="BA11" s="23">
        <f t="shared" si="26"/>
        <v>91.182214049366181</v>
      </c>
      <c r="BB11" s="23">
        <f t="shared" si="27"/>
        <v>182.36442809873236</v>
      </c>
      <c r="BC11" s="23">
        <f t="shared" si="28"/>
        <v>0</v>
      </c>
      <c r="BD11" s="23">
        <f t="shared" si="29"/>
        <v>182.36442809873236</v>
      </c>
    </row>
    <row r="12" spans="1:57" s="47" customFormat="1">
      <c r="A12" s="47" t="s">
        <v>20</v>
      </c>
      <c r="B12" s="47" t="s">
        <v>51</v>
      </c>
      <c r="C12" s="47" t="s">
        <v>22</v>
      </c>
      <c r="D12" s="47" t="s">
        <v>52</v>
      </c>
      <c r="E12" s="51" t="s">
        <v>107</v>
      </c>
      <c r="F12" s="51" t="s">
        <v>822</v>
      </c>
      <c r="G12" s="51" t="s">
        <v>109</v>
      </c>
      <c r="H12" s="47" t="s">
        <v>958</v>
      </c>
      <c r="J12" s="51" t="s">
        <v>112</v>
      </c>
      <c r="K12" s="51" t="s">
        <v>112</v>
      </c>
      <c r="L12" s="51" t="s">
        <v>112</v>
      </c>
      <c r="M12" s="47">
        <v>2165766</v>
      </c>
      <c r="N12" s="51" t="s">
        <v>959</v>
      </c>
      <c r="O12" s="77">
        <f>DATE(2017,5,31)</f>
        <v>42886</v>
      </c>
      <c r="P12" s="77">
        <f>DATE(2017,12,23)</f>
        <v>43092</v>
      </c>
      <c r="Q12" s="51">
        <v>200</v>
      </c>
      <c r="R12" s="49"/>
      <c r="S12" s="51">
        <v>1</v>
      </c>
      <c r="U12" s="47">
        <f t="shared" si="0"/>
        <v>207</v>
      </c>
      <c r="V12" s="31">
        <f t="shared" si="1"/>
        <v>0.96618357487922701</v>
      </c>
      <c r="W12" s="31">
        <f t="shared" si="2"/>
        <v>200</v>
      </c>
      <c r="X12" s="31">
        <f t="shared" si="3"/>
        <v>0.25</v>
      </c>
      <c r="Y12" s="31"/>
      <c r="Z12" s="31"/>
      <c r="AA12" s="32">
        <f t="shared" si="4"/>
        <v>42552</v>
      </c>
      <c r="AB12" s="77">
        <f t="shared" si="5"/>
        <v>42735</v>
      </c>
      <c r="AC12" s="49">
        <v>0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0</v>
      </c>
      <c r="AH12" s="47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O12" s="23"/>
      <c r="AP12" s="23"/>
      <c r="AQ12" s="32">
        <f t="shared" si="17"/>
        <v>42736</v>
      </c>
      <c r="AR12" s="77">
        <f t="shared" si="18"/>
        <v>42916</v>
      </c>
      <c r="AS12" s="51">
        <v>40</v>
      </c>
      <c r="AT12" s="47">
        <f t="shared" si="19"/>
        <v>0</v>
      </c>
      <c r="AU12" s="47">
        <f t="shared" si="20"/>
        <v>31</v>
      </c>
      <c r="AV12" s="47">
        <f t="shared" si="21"/>
        <v>0</v>
      </c>
      <c r="AW12" s="47">
        <f t="shared" si="22"/>
        <v>0</v>
      </c>
      <c r="AX12" s="47">
        <f t="shared" si="23"/>
        <v>0</v>
      </c>
      <c r="AY12" s="23">
        <f t="shared" si="24"/>
        <v>0.17127071823204421</v>
      </c>
      <c r="AZ12" s="23">
        <f t="shared" si="25"/>
        <v>4.2817679558011051E-2</v>
      </c>
      <c r="BA12" s="23">
        <f t="shared" si="26"/>
        <v>1.7127071823204421</v>
      </c>
      <c r="BB12" s="23">
        <f t="shared" si="27"/>
        <v>1.7127071823204421</v>
      </c>
      <c r="BC12" s="23">
        <f t="shared" si="28"/>
        <v>0</v>
      </c>
      <c r="BD12" s="23">
        <f t="shared" si="29"/>
        <v>1.7127071823204421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E14"/>
  <sheetViews>
    <sheetView tabSelected="1" topLeftCell="I1" workbookViewId="0">
      <selection activeCell="N27" sqref="N27"/>
    </sheetView>
  </sheetViews>
  <sheetFormatPr defaultRowHeight="15"/>
  <cols>
    <col min="4" max="4" width="22.42578125" bestFit="1" customWidth="1"/>
    <col min="5" max="5" width="19.85546875" bestFit="1" customWidth="1"/>
    <col min="6" max="6" width="12.42578125" bestFit="1" customWidth="1"/>
    <col min="7" max="7" width="10" bestFit="1" customWidth="1"/>
    <col min="8" max="8" width="34.28515625" bestFit="1" customWidth="1"/>
    <col min="9" max="9" width="35" bestFit="1" customWidth="1"/>
    <col min="14" max="14" width="77.28515625" customWidth="1"/>
    <col min="15" max="16" width="10.7109375" bestFit="1" customWidth="1"/>
    <col min="18" max="18" width="6.140625" customWidth="1"/>
    <col min="20" max="20" width="3.85546875" customWidth="1"/>
    <col min="25" max="25" width="2.5703125" customWidth="1"/>
    <col min="27" max="28" width="10.7109375" bestFit="1" customWidth="1"/>
    <col min="41" max="41" width="4.7109375" customWidth="1"/>
    <col min="43" max="44" width="10.7109375" bestFit="1" customWidth="1"/>
  </cols>
  <sheetData>
    <row r="1" spans="1:57" s="47" customFormat="1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3"/>
    </row>
    <row r="2" spans="1:57" s="62" customFormat="1" ht="88.5" customHeight="1">
      <c r="A2" s="59" t="s">
        <v>6</v>
      </c>
      <c r="B2" s="59" t="s">
        <v>7</v>
      </c>
      <c r="C2" s="59" t="s">
        <v>8</v>
      </c>
      <c r="D2" s="59" t="s">
        <v>9</v>
      </c>
      <c r="E2" s="60" t="s">
        <v>61</v>
      </c>
      <c r="F2" s="60" t="s">
        <v>62</v>
      </c>
      <c r="G2" s="60" t="s">
        <v>63</v>
      </c>
      <c r="H2" s="59" t="s">
        <v>64</v>
      </c>
      <c r="I2" s="59" t="s">
        <v>65</v>
      </c>
      <c r="J2" s="60" t="s">
        <v>66</v>
      </c>
      <c r="K2" s="60" t="s">
        <v>67</v>
      </c>
      <c r="L2" s="60" t="s">
        <v>68</v>
      </c>
      <c r="M2" s="59" t="s">
        <v>69</v>
      </c>
      <c r="N2" s="59" t="s">
        <v>70</v>
      </c>
      <c r="O2" s="59" t="s">
        <v>71</v>
      </c>
      <c r="P2" s="59" t="s">
        <v>72</v>
      </c>
      <c r="Q2" s="60" t="s">
        <v>73</v>
      </c>
      <c r="R2" s="59" t="s">
        <v>74</v>
      </c>
      <c r="S2" s="61" t="s">
        <v>75</v>
      </c>
      <c r="U2" s="63" t="s">
        <v>76</v>
      </c>
      <c r="V2" s="63" t="s">
        <v>77</v>
      </c>
      <c r="W2" s="64" t="s">
        <v>78</v>
      </c>
      <c r="X2" s="65" t="s">
        <v>79</v>
      </c>
      <c r="Y2" s="66"/>
      <c r="Z2" s="67" t="s">
        <v>80</v>
      </c>
      <c r="AA2" s="68" t="s">
        <v>81</v>
      </c>
      <c r="AB2" s="68" t="s">
        <v>82</v>
      </c>
      <c r="AC2" s="68" t="s">
        <v>83</v>
      </c>
      <c r="AD2" s="65" t="s">
        <v>84</v>
      </c>
      <c r="AE2" s="63" t="s">
        <v>85</v>
      </c>
      <c r="AF2" s="63" t="s">
        <v>86</v>
      </c>
      <c r="AG2" s="65" t="s">
        <v>87</v>
      </c>
      <c r="AH2" s="65" t="s">
        <v>88</v>
      </c>
      <c r="AI2" s="65" t="s">
        <v>89</v>
      </c>
      <c r="AJ2" s="65" t="s">
        <v>90</v>
      </c>
      <c r="AK2" s="65" t="s">
        <v>91</v>
      </c>
      <c r="AL2" s="65" t="s">
        <v>92</v>
      </c>
      <c r="AM2" s="65" t="s">
        <v>93</v>
      </c>
      <c r="AN2" s="69" t="s">
        <v>94</v>
      </c>
      <c r="AO2" s="66"/>
      <c r="AP2" s="67" t="s">
        <v>95</v>
      </c>
      <c r="AQ2" s="68" t="s">
        <v>96</v>
      </c>
      <c r="AR2" s="68" t="s">
        <v>97</v>
      </c>
      <c r="AS2" s="68" t="s">
        <v>98</v>
      </c>
      <c r="AT2" s="63" t="s">
        <v>99</v>
      </c>
      <c r="AU2" s="64" t="s">
        <v>100</v>
      </c>
      <c r="AV2" s="65" t="s">
        <v>101</v>
      </c>
      <c r="AW2" s="65" t="s">
        <v>102</v>
      </c>
      <c r="AX2" s="65" t="s">
        <v>103</v>
      </c>
      <c r="AY2" s="63" t="s">
        <v>104</v>
      </c>
      <c r="AZ2" s="63" t="s">
        <v>90</v>
      </c>
      <c r="BA2" s="64" t="s">
        <v>105</v>
      </c>
      <c r="BB2" s="65" t="s">
        <v>92</v>
      </c>
      <c r="BC2" s="63" t="s">
        <v>93</v>
      </c>
      <c r="BD2" s="70" t="s">
        <v>106</v>
      </c>
      <c r="BE2" s="71"/>
    </row>
    <row r="3" spans="1:57" s="47" customFormat="1">
      <c r="A3" s="47" t="s">
        <v>20</v>
      </c>
      <c r="B3" s="47" t="s">
        <v>30</v>
      </c>
      <c r="C3" s="47" t="s">
        <v>22</v>
      </c>
      <c r="D3" s="47" t="s">
        <v>31</v>
      </c>
      <c r="E3" s="51" t="s">
        <v>154</v>
      </c>
      <c r="F3" s="51" t="s">
        <v>108</v>
      </c>
      <c r="G3" s="51" t="s">
        <v>109</v>
      </c>
      <c r="H3" s="47" t="s">
        <v>166</v>
      </c>
      <c r="I3" s="47" t="s">
        <v>167</v>
      </c>
      <c r="J3" s="51" t="s">
        <v>112</v>
      </c>
      <c r="K3" s="51" t="s">
        <v>112</v>
      </c>
      <c r="L3" s="51" t="s">
        <v>148</v>
      </c>
      <c r="M3" s="47">
        <v>1970502</v>
      </c>
      <c r="N3" s="50" t="s">
        <v>960</v>
      </c>
      <c r="O3" s="77">
        <f>DATE(2014,10,1)</f>
        <v>41913</v>
      </c>
      <c r="P3" s="77">
        <f>DATE(2016,6,30)</f>
        <v>42551</v>
      </c>
      <c r="Q3" s="51">
        <v>1680</v>
      </c>
      <c r="R3" s="49"/>
      <c r="S3" s="51">
        <v>1.5</v>
      </c>
      <c r="U3" s="47">
        <f t="shared" ref="U3:U14" si="0">P3-O3+1</f>
        <v>639</v>
      </c>
      <c r="V3" s="31">
        <f t="shared" ref="V3:V14" si="1">Q3/U3</f>
        <v>2.6291079812206575</v>
      </c>
      <c r="W3" s="31">
        <f t="shared" ref="W3:W14" si="2">IF(U3&gt;365,V3*365,Q3)</f>
        <v>959.62441314553996</v>
      </c>
      <c r="X3" s="31">
        <f t="shared" ref="X3:X14" si="3">IF(U3&gt;365,W3/800,Q3/800)</f>
        <v>1.199530516431925</v>
      </c>
      <c r="Y3" s="31"/>
      <c r="Z3" s="31"/>
      <c r="AA3" s="32">
        <f t="shared" ref="AA3:AA14" si="4">DATE(2016,7,1)</f>
        <v>42552</v>
      </c>
      <c r="AB3" s="77">
        <f t="shared" ref="AB3:AB14" si="5">DATE(2016,12,31)</f>
        <v>42735</v>
      </c>
      <c r="AC3" s="50">
        <v>2</v>
      </c>
      <c r="AD3" s="47">
        <f t="shared" ref="AD3:AD14" si="6">IF(AND(O3&lt;AA3,P3&gt;AB3),AB3-AA3+1,0)</f>
        <v>0</v>
      </c>
      <c r="AE3" s="47">
        <f t="shared" ref="AE3:AE14" si="7">IF(AND(O3&gt;=AA3,P3&gt;AB3,O3&lt;AB3),AB3-O3+1,0)</f>
        <v>0</v>
      </c>
      <c r="AF3" s="47">
        <f t="shared" ref="AF3:AF14" si="8">IF(AND(O3&lt;AA3,P3&lt;=AB3,P3&gt;=AA3),P3-AA3+1,0)</f>
        <v>0</v>
      </c>
      <c r="AG3" s="47">
        <f t="shared" ref="AG3:AG14" si="9">IF(AND(O3&gt;=AA3,P3&lt;=AB3),P3-O3+1,0)</f>
        <v>0</v>
      </c>
      <c r="AH3" s="47">
        <f t="shared" ref="AH3:AH14" si="10">IF(AND(O3&lt;AA3,P3&lt;AA3),(AB3-AA3+1)/2,0)</f>
        <v>92</v>
      </c>
      <c r="AI3" s="23">
        <f t="shared" ref="AI3:AI14" si="11">SUM(AD3:AH3)/(AB3-AA3+1)</f>
        <v>0.5</v>
      </c>
      <c r="AJ3" s="23">
        <f t="shared" ref="AJ3:AJ14" si="12">X3*AI3</f>
        <v>0.59976525821596249</v>
      </c>
      <c r="AK3" s="23">
        <f t="shared" ref="AK3:AK14" si="13">IF(AH3=0,AJ3*AC3,IF(AA3-P3&gt;1095,0,AJ3*(AC3/2)))</f>
        <v>0.59976525821596249</v>
      </c>
      <c r="AL3" s="23">
        <f t="shared" ref="AL3:AL14" si="14">AK3*S3</f>
        <v>0.89964788732394374</v>
      </c>
      <c r="AM3" s="23">
        <f t="shared" ref="AM3:AM14" si="15">IF(J3="SIM",AL3*50%,0)</f>
        <v>0</v>
      </c>
      <c r="AN3" s="23">
        <f t="shared" ref="AN3:AN14" si="16">AL3+AM3</f>
        <v>0.89964788732394374</v>
      </c>
      <c r="AO3" s="23"/>
      <c r="AP3" s="23"/>
      <c r="AQ3" s="32">
        <f t="shared" ref="AQ3:AQ14" si="17">DATE(2017,1,1)</f>
        <v>42736</v>
      </c>
      <c r="AR3" s="72">
        <f t="shared" ref="AR3:AR14" si="18">DATE(2017,6,30)</f>
        <v>42916</v>
      </c>
      <c r="AS3" s="50">
        <v>5</v>
      </c>
      <c r="AT3" s="47">
        <f t="shared" ref="AT3:AT14" si="19">IF(AND(O3&lt;AQ3,P3&gt;AR3),AR3-AQ3+1,0)</f>
        <v>0</v>
      </c>
      <c r="AU3" s="47">
        <f t="shared" ref="AU3:AU14" si="20">IF(AND(O3&gt;=AQ3,P3&gt;AR3,O3&lt;AR3),AR3-O3+1,0)</f>
        <v>0</v>
      </c>
      <c r="AV3" s="47">
        <f t="shared" ref="AV3:AV14" si="21">IF(AND(O3&lt;AQ3,P3&lt;=AR3,P3&gt;=AQ3),P3-AQ3+1,0)</f>
        <v>0</v>
      </c>
      <c r="AW3" s="47">
        <f t="shared" ref="AW3:AW14" si="22">IF(AND(O3&gt;=AQ3,P3&lt;=AR3),P3-O3+1,0)</f>
        <v>0</v>
      </c>
      <c r="AX3" s="47">
        <f t="shared" ref="AX3:AX14" si="23">IF(AND(O3&lt;AQ3,P3&lt;AQ3),(AR3-AQ3+1)/2,0)</f>
        <v>90.5</v>
      </c>
      <c r="AY3" s="23">
        <f t="shared" ref="AY3:AY14" si="24">SUM(AT3:AX3)/(AR3-AQ3+1)</f>
        <v>0.5</v>
      </c>
      <c r="AZ3" s="23">
        <f t="shared" ref="AZ3:AZ14" si="25">X3*AY3</f>
        <v>0.59976525821596249</v>
      </c>
      <c r="BA3" s="23">
        <f t="shared" ref="BA3:BA14" si="26">IF(AX3=0,AZ3*AS3,IF(AQ3-P3&gt;1095,0,AZ3*(AS3/2)))</f>
        <v>1.4994131455399062</v>
      </c>
      <c r="BB3" s="23">
        <f t="shared" ref="BB3:BB14" si="27">BA3*S3</f>
        <v>2.2491197183098595</v>
      </c>
      <c r="BC3" s="23">
        <f t="shared" ref="BC3:BC14" si="28">IF(J3="SIM",BB3*50%,0)</f>
        <v>0</v>
      </c>
      <c r="BD3" s="23">
        <f t="shared" ref="BD3:BD14" si="29">BB3+BC3</f>
        <v>2.2491197183098595</v>
      </c>
    </row>
    <row r="4" spans="1:57" s="47" customFormat="1">
      <c r="A4" s="47" t="s">
        <v>20</v>
      </c>
      <c r="B4" s="47" t="s">
        <v>30</v>
      </c>
      <c r="C4" s="47" t="s">
        <v>22</v>
      </c>
      <c r="D4" s="47" t="s">
        <v>31</v>
      </c>
      <c r="E4" s="51" t="s">
        <v>154</v>
      </c>
      <c r="F4" s="51" t="s">
        <v>108</v>
      </c>
      <c r="G4" s="51" t="s">
        <v>109</v>
      </c>
      <c r="H4" s="47" t="s">
        <v>224</v>
      </c>
      <c r="I4" s="47" t="s">
        <v>167</v>
      </c>
      <c r="J4" s="51" t="s">
        <v>112</v>
      </c>
      <c r="K4" s="51" t="s">
        <v>112</v>
      </c>
      <c r="L4" s="51" t="s">
        <v>148</v>
      </c>
      <c r="M4" s="47">
        <v>1970503</v>
      </c>
      <c r="N4" s="50" t="s">
        <v>961</v>
      </c>
      <c r="O4" s="77">
        <f>DATE(2014,10,1)</f>
        <v>41913</v>
      </c>
      <c r="P4" s="77">
        <f>DATE(2016,6,30)</f>
        <v>42551</v>
      </c>
      <c r="Q4" s="51">
        <v>1680</v>
      </c>
      <c r="R4" s="49"/>
      <c r="S4" s="51">
        <v>1</v>
      </c>
      <c r="U4" s="47">
        <f t="shared" si="0"/>
        <v>639</v>
      </c>
      <c r="V4" s="31">
        <f t="shared" si="1"/>
        <v>2.6291079812206575</v>
      </c>
      <c r="W4" s="31">
        <f t="shared" si="2"/>
        <v>959.62441314553996</v>
      </c>
      <c r="X4" s="31">
        <f t="shared" si="3"/>
        <v>1.199530516431925</v>
      </c>
      <c r="Y4" s="31"/>
      <c r="Z4" s="31"/>
      <c r="AA4" s="32">
        <f t="shared" si="4"/>
        <v>42552</v>
      </c>
      <c r="AB4" s="77">
        <f t="shared" si="5"/>
        <v>42735</v>
      </c>
      <c r="AC4" s="50">
        <v>50</v>
      </c>
      <c r="AD4" s="47">
        <f t="shared" si="6"/>
        <v>0</v>
      </c>
      <c r="AE4" s="47">
        <f t="shared" si="7"/>
        <v>0</v>
      </c>
      <c r="AF4" s="47">
        <f t="shared" si="8"/>
        <v>0</v>
      </c>
      <c r="AG4" s="47">
        <f t="shared" si="9"/>
        <v>0</v>
      </c>
      <c r="AH4" s="47">
        <f t="shared" si="10"/>
        <v>92</v>
      </c>
      <c r="AI4" s="23">
        <f t="shared" si="11"/>
        <v>0.5</v>
      </c>
      <c r="AJ4" s="23">
        <f t="shared" si="12"/>
        <v>0.59976525821596249</v>
      </c>
      <c r="AK4" s="23">
        <f t="shared" si="13"/>
        <v>14.994131455399062</v>
      </c>
      <c r="AL4" s="23">
        <f t="shared" si="14"/>
        <v>14.994131455399062</v>
      </c>
      <c r="AM4" s="23">
        <f t="shared" si="15"/>
        <v>0</v>
      </c>
      <c r="AN4" s="23">
        <f t="shared" si="16"/>
        <v>14.994131455399062</v>
      </c>
      <c r="AO4" s="23"/>
      <c r="AP4" s="23"/>
      <c r="AQ4" s="32">
        <f t="shared" si="17"/>
        <v>42736</v>
      </c>
      <c r="AR4" s="72">
        <f t="shared" si="18"/>
        <v>42916</v>
      </c>
      <c r="AS4" s="50">
        <v>50</v>
      </c>
      <c r="AT4" s="47">
        <f t="shared" si="19"/>
        <v>0</v>
      </c>
      <c r="AU4" s="47">
        <f t="shared" si="20"/>
        <v>0</v>
      </c>
      <c r="AV4" s="47">
        <f t="shared" si="21"/>
        <v>0</v>
      </c>
      <c r="AW4" s="47">
        <f t="shared" si="22"/>
        <v>0</v>
      </c>
      <c r="AX4" s="47">
        <f t="shared" si="23"/>
        <v>90.5</v>
      </c>
      <c r="AY4" s="23">
        <f t="shared" si="24"/>
        <v>0.5</v>
      </c>
      <c r="AZ4" s="23">
        <f t="shared" si="25"/>
        <v>0.59976525821596249</v>
      </c>
      <c r="BA4" s="23">
        <f t="shared" si="26"/>
        <v>14.994131455399062</v>
      </c>
      <c r="BB4" s="23">
        <f t="shared" si="27"/>
        <v>14.994131455399062</v>
      </c>
      <c r="BC4" s="23">
        <f t="shared" si="28"/>
        <v>0</v>
      </c>
      <c r="BD4" s="23">
        <f t="shared" si="29"/>
        <v>14.994131455399062</v>
      </c>
    </row>
    <row r="5" spans="1:57" s="47" customFormat="1">
      <c r="A5" s="47" t="s">
        <v>20</v>
      </c>
      <c r="B5" s="47" t="s">
        <v>30</v>
      </c>
      <c r="C5" s="47" t="s">
        <v>22</v>
      </c>
      <c r="D5" s="47" t="s">
        <v>31</v>
      </c>
      <c r="E5" s="51" t="s">
        <v>107</v>
      </c>
      <c r="F5" s="51" t="s">
        <v>108</v>
      </c>
      <c r="G5" s="51" t="s">
        <v>109</v>
      </c>
      <c r="H5" s="47" t="s">
        <v>127</v>
      </c>
      <c r="I5" s="47" t="s">
        <v>128</v>
      </c>
      <c r="J5" s="51" t="s">
        <v>112</v>
      </c>
      <c r="K5" s="51" t="s">
        <v>112</v>
      </c>
      <c r="L5" s="51" t="s">
        <v>112</v>
      </c>
      <c r="M5" s="47">
        <v>1977365</v>
      </c>
      <c r="N5" s="50" t="s">
        <v>962</v>
      </c>
      <c r="O5" s="77">
        <f>DATE(2014,9,29)</f>
        <v>41911</v>
      </c>
      <c r="P5" s="77">
        <f>DATE(2016,9,16)</f>
        <v>42629</v>
      </c>
      <c r="Q5" s="51">
        <v>1500</v>
      </c>
      <c r="R5" s="49"/>
      <c r="S5" s="51">
        <v>2.5</v>
      </c>
      <c r="U5" s="47">
        <f t="shared" si="0"/>
        <v>719</v>
      </c>
      <c r="V5" s="31">
        <f t="shared" si="1"/>
        <v>2.0862308762169679</v>
      </c>
      <c r="W5" s="31">
        <f t="shared" si="2"/>
        <v>761.4742698191933</v>
      </c>
      <c r="X5" s="31">
        <f t="shared" si="3"/>
        <v>0.95184283727399166</v>
      </c>
      <c r="Y5" s="31"/>
      <c r="Z5" s="31"/>
      <c r="AA5" s="32">
        <f t="shared" si="4"/>
        <v>42552</v>
      </c>
      <c r="AB5" s="77">
        <f t="shared" si="5"/>
        <v>42735</v>
      </c>
      <c r="AC5" s="50">
        <v>33</v>
      </c>
      <c r="AD5" s="47">
        <f t="shared" si="6"/>
        <v>0</v>
      </c>
      <c r="AE5" s="47">
        <f t="shared" si="7"/>
        <v>0</v>
      </c>
      <c r="AF5" s="47">
        <f t="shared" si="8"/>
        <v>78</v>
      </c>
      <c r="AG5" s="47">
        <f t="shared" si="9"/>
        <v>0</v>
      </c>
      <c r="AH5" s="47">
        <f t="shared" si="10"/>
        <v>0</v>
      </c>
      <c r="AI5" s="23">
        <f t="shared" si="11"/>
        <v>0.42391304347826086</v>
      </c>
      <c r="AJ5" s="23">
        <f t="shared" si="12"/>
        <v>0.40349859406180083</v>
      </c>
      <c r="AK5" s="23">
        <f t="shared" si="13"/>
        <v>13.315453604039428</v>
      </c>
      <c r="AL5" s="23">
        <f t="shared" si="14"/>
        <v>33.288634010098569</v>
      </c>
      <c r="AM5" s="23">
        <f t="shared" si="15"/>
        <v>0</v>
      </c>
      <c r="AN5" s="23">
        <f t="shared" si="16"/>
        <v>33.288634010098569</v>
      </c>
      <c r="AO5" s="23"/>
      <c r="AP5" s="23"/>
      <c r="AQ5" s="32">
        <f t="shared" si="17"/>
        <v>42736</v>
      </c>
      <c r="AR5" s="72">
        <f t="shared" si="18"/>
        <v>42916</v>
      </c>
      <c r="AS5" s="50">
        <v>33</v>
      </c>
      <c r="AT5" s="47">
        <f t="shared" si="19"/>
        <v>0</v>
      </c>
      <c r="AU5" s="47">
        <f t="shared" si="20"/>
        <v>0</v>
      </c>
      <c r="AV5" s="47">
        <f t="shared" si="21"/>
        <v>0</v>
      </c>
      <c r="AW5" s="47">
        <f t="shared" si="22"/>
        <v>0</v>
      </c>
      <c r="AX5" s="47">
        <f t="shared" si="23"/>
        <v>90.5</v>
      </c>
      <c r="AY5" s="23">
        <f t="shared" si="24"/>
        <v>0.5</v>
      </c>
      <c r="AZ5" s="23">
        <f t="shared" si="25"/>
        <v>0.47592141863699583</v>
      </c>
      <c r="BA5" s="23">
        <f t="shared" si="26"/>
        <v>7.8527034075104316</v>
      </c>
      <c r="BB5" s="23">
        <f t="shared" si="27"/>
        <v>19.631758518776078</v>
      </c>
      <c r="BC5" s="23">
        <f t="shared" si="28"/>
        <v>0</v>
      </c>
      <c r="BD5" s="23">
        <f t="shared" si="29"/>
        <v>19.631758518776078</v>
      </c>
    </row>
    <row r="6" spans="1:57" s="47" customFormat="1">
      <c r="A6" s="47" t="s">
        <v>20</v>
      </c>
      <c r="B6" s="47" t="s">
        <v>30</v>
      </c>
      <c r="C6" s="47" t="s">
        <v>22</v>
      </c>
      <c r="D6" s="47" t="s">
        <v>31</v>
      </c>
      <c r="E6" s="51" t="s">
        <v>107</v>
      </c>
      <c r="F6" s="51" t="s">
        <v>108</v>
      </c>
      <c r="G6" s="51" t="s">
        <v>109</v>
      </c>
      <c r="H6" s="47" t="s">
        <v>127</v>
      </c>
      <c r="I6" s="47" t="s">
        <v>128</v>
      </c>
      <c r="J6" s="51" t="s">
        <v>112</v>
      </c>
      <c r="K6" s="51" t="s">
        <v>112</v>
      </c>
      <c r="L6" s="51" t="s">
        <v>112</v>
      </c>
      <c r="M6" s="47">
        <v>1989614</v>
      </c>
      <c r="N6" s="51" t="s">
        <v>963</v>
      </c>
      <c r="O6" s="77">
        <f>DATE(2015,6,15)</f>
        <v>42170</v>
      </c>
      <c r="P6" s="77">
        <f>DATE(2017,6,26)</f>
        <v>42912</v>
      </c>
      <c r="Q6" s="51">
        <v>1500</v>
      </c>
      <c r="R6" s="49"/>
      <c r="S6" s="51">
        <v>2.5</v>
      </c>
      <c r="U6" s="47">
        <f t="shared" si="0"/>
        <v>743</v>
      </c>
      <c r="V6" s="31">
        <f t="shared" si="1"/>
        <v>2.018842530282638</v>
      </c>
      <c r="W6" s="31">
        <f t="shared" si="2"/>
        <v>736.87752355316286</v>
      </c>
      <c r="X6" s="31">
        <f t="shared" si="3"/>
        <v>0.92109690444145353</v>
      </c>
      <c r="Y6" s="31"/>
      <c r="Z6" s="31"/>
      <c r="AA6" s="32">
        <f t="shared" si="4"/>
        <v>42552</v>
      </c>
      <c r="AB6" s="77">
        <f t="shared" si="5"/>
        <v>42735</v>
      </c>
      <c r="AC6" s="51">
        <v>53</v>
      </c>
      <c r="AD6" s="47">
        <f t="shared" si="6"/>
        <v>184</v>
      </c>
      <c r="AE6" s="47">
        <f t="shared" si="7"/>
        <v>0</v>
      </c>
      <c r="AF6" s="47">
        <f t="shared" si="8"/>
        <v>0</v>
      </c>
      <c r="AG6" s="47">
        <f t="shared" si="9"/>
        <v>0</v>
      </c>
      <c r="AH6" s="47">
        <f t="shared" si="10"/>
        <v>0</v>
      </c>
      <c r="AI6" s="23">
        <f t="shared" si="11"/>
        <v>1</v>
      </c>
      <c r="AJ6" s="23">
        <f t="shared" si="12"/>
        <v>0.92109690444145353</v>
      </c>
      <c r="AK6" s="23">
        <f t="shared" si="13"/>
        <v>48.818135935397038</v>
      </c>
      <c r="AL6" s="23">
        <f t="shared" si="14"/>
        <v>122.04533983849259</v>
      </c>
      <c r="AM6" s="23">
        <f t="shared" si="15"/>
        <v>0</v>
      </c>
      <c r="AN6" s="23">
        <f t="shared" si="16"/>
        <v>122.04533983849259</v>
      </c>
      <c r="AO6" s="23"/>
      <c r="AP6" s="23"/>
      <c r="AQ6" s="32">
        <f t="shared" si="17"/>
        <v>42736</v>
      </c>
      <c r="AR6" s="55">
        <f t="shared" si="18"/>
        <v>42916</v>
      </c>
      <c r="AS6" s="51">
        <v>53</v>
      </c>
      <c r="AT6" s="47">
        <f t="shared" si="19"/>
        <v>0</v>
      </c>
      <c r="AU6" s="47">
        <f t="shared" si="20"/>
        <v>0</v>
      </c>
      <c r="AV6" s="47">
        <f t="shared" si="21"/>
        <v>177</v>
      </c>
      <c r="AW6" s="47">
        <f t="shared" si="22"/>
        <v>0</v>
      </c>
      <c r="AX6" s="47">
        <f t="shared" si="23"/>
        <v>0</v>
      </c>
      <c r="AY6" s="23">
        <f t="shared" si="24"/>
        <v>0.97790055248618779</v>
      </c>
      <c r="AZ6" s="23">
        <f t="shared" si="25"/>
        <v>0.90074117174661472</v>
      </c>
      <c r="BA6" s="23">
        <f t="shared" si="26"/>
        <v>47.739282102570577</v>
      </c>
      <c r="BB6" s="23">
        <f t="shared" si="27"/>
        <v>119.34820525642644</v>
      </c>
      <c r="BC6" s="23">
        <f t="shared" si="28"/>
        <v>0</v>
      </c>
      <c r="BD6" s="23">
        <f t="shared" si="29"/>
        <v>119.34820525642644</v>
      </c>
    </row>
    <row r="7" spans="1:57" s="47" customFormat="1">
      <c r="A7" s="47" t="s">
        <v>20</v>
      </c>
      <c r="B7" s="47" t="s">
        <v>30</v>
      </c>
      <c r="C7" s="47" t="s">
        <v>22</v>
      </c>
      <c r="D7" s="47" t="s">
        <v>31</v>
      </c>
      <c r="E7" s="51" t="s">
        <v>107</v>
      </c>
      <c r="F7" s="51" t="s">
        <v>108</v>
      </c>
      <c r="G7" s="51" t="s">
        <v>109</v>
      </c>
      <c r="H7" s="47" t="s">
        <v>964</v>
      </c>
      <c r="I7" s="47" t="s">
        <v>128</v>
      </c>
      <c r="J7" s="51" t="s">
        <v>112</v>
      </c>
      <c r="K7" s="51" t="s">
        <v>112</v>
      </c>
      <c r="L7" s="51" t="s">
        <v>112</v>
      </c>
      <c r="M7" s="47">
        <v>1989615</v>
      </c>
      <c r="N7" s="51" t="s">
        <v>965</v>
      </c>
      <c r="O7" s="77">
        <f>DATE(2015,6,15)</f>
        <v>42170</v>
      </c>
      <c r="P7" s="77">
        <f>DATE(2017,6,26)</f>
        <v>42912</v>
      </c>
      <c r="Q7" s="51">
        <v>1500</v>
      </c>
      <c r="R7" s="49"/>
      <c r="S7" s="51">
        <v>2.5</v>
      </c>
      <c r="U7" s="47">
        <f t="shared" si="0"/>
        <v>743</v>
      </c>
      <c r="V7" s="31">
        <f t="shared" si="1"/>
        <v>2.018842530282638</v>
      </c>
      <c r="W7" s="31">
        <f t="shared" si="2"/>
        <v>736.87752355316286</v>
      </c>
      <c r="X7" s="31">
        <f t="shared" si="3"/>
        <v>0.92109690444145353</v>
      </c>
      <c r="Y7" s="31"/>
      <c r="Z7" s="31"/>
      <c r="AA7" s="32">
        <f t="shared" si="4"/>
        <v>42552</v>
      </c>
      <c r="AB7" s="77">
        <f t="shared" si="5"/>
        <v>42735</v>
      </c>
      <c r="AC7" s="51">
        <v>52</v>
      </c>
      <c r="AD7" s="47">
        <f t="shared" si="6"/>
        <v>184</v>
      </c>
      <c r="AE7" s="47">
        <f t="shared" si="7"/>
        <v>0</v>
      </c>
      <c r="AF7" s="47">
        <f t="shared" si="8"/>
        <v>0</v>
      </c>
      <c r="AG7" s="47">
        <f t="shared" si="9"/>
        <v>0</v>
      </c>
      <c r="AH7" s="47">
        <f t="shared" si="10"/>
        <v>0</v>
      </c>
      <c r="AI7" s="23">
        <f t="shared" si="11"/>
        <v>1</v>
      </c>
      <c r="AJ7" s="23">
        <f t="shared" si="12"/>
        <v>0.92109690444145353</v>
      </c>
      <c r="AK7" s="23">
        <f t="shared" si="13"/>
        <v>47.897039030955582</v>
      </c>
      <c r="AL7" s="23">
        <f t="shared" si="14"/>
        <v>119.74259757738895</v>
      </c>
      <c r="AM7" s="23">
        <f t="shared" si="15"/>
        <v>0</v>
      </c>
      <c r="AN7" s="23">
        <f t="shared" si="16"/>
        <v>119.74259757738895</v>
      </c>
      <c r="AO7" s="23"/>
      <c r="AP7" s="23"/>
      <c r="AQ7" s="32">
        <f t="shared" si="17"/>
        <v>42736</v>
      </c>
      <c r="AR7" s="55">
        <f t="shared" si="18"/>
        <v>42916</v>
      </c>
      <c r="AS7" s="51">
        <v>52</v>
      </c>
      <c r="AT7" s="47">
        <f t="shared" si="19"/>
        <v>0</v>
      </c>
      <c r="AU7" s="47">
        <f t="shared" si="20"/>
        <v>0</v>
      </c>
      <c r="AV7" s="47">
        <f t="shared" si="21"/>
        <v>177</v>
      </c>
      <c r="AW7" s="47">
        <f t="shared" si="22"/>
        <v>0</v>
      </c>
      <c r="AX7" s="47">
        <f t="shared" si="23"/>
        <v>0</v>
      </c>
      <c r="AY7" s="23">
        <f t="shared" si="24"/>
        <v>0.97790055248618779</v>
      </c>
      <c r="AZ7" s="23">
        <f t="shared" si="25"/>
        <v>0.90074117174661472</v>
      </c>
      <c r="BA7" s="23">
        <f t="shared" si="26"/>
        <v>46.838540930823967</v>
      </c>
      <c r="BB7" s="23">
        <f t="shared" si="27"/>
        <v>117.09635232705992</v>
      </c>
      <c r="BC7" s="23">
        <f t="shared" si="28"/>
        <v>0</v>
      </c>
      <c r="BD7" s="23">
        <f t="shared" si="29"/>
        <v>117.09635232705992</v>
      </c>
    </row>
    <row r="8" spans="1:57" s="47" customFormat="1">
      <c r="A8" s="47" t="s">
        <v>20</v>
      </c>
      <c r="B8" s="47" t="s">
        <v>30</v>
      </c>
      <c r="C8" s="47" t="s">
        <v>22</v>
      </c>
      <c r="D8" s="47" t="s">
        <v>31</v>
      </c>
      <c r="E8" s="51" t="s">
        <v>107</v>
      </c>
      <c r="F8" s="51" t="s">
        <v>108</v>
      </c>
      <c r="G8" s="51" t="s">
        <v>109</v>
      </c>
      <c r="H8" s="47" t="s">
        <v>964</v>
      </c>
      <c r="I8" s="47" t="s">
        <v>128</v>
      </c>
      <c r="J8" s="51" t="s">
        <v>112</v>
      </c>
      <c r="K8" s="51" t="s">
        <v>112</v>
      </c>
      <c r="L8" s="51" t="s">
        <v>112</v>
      </c>
      <c r="M8" s="47">
        <v>2028977</v>
      </c>
      <c r="N8" s="52" t="s">
        <v>966</v>
      </c>
      <c r="O8" s="77">
        <f>DATE(2016,5,2)</f>
        <v>42492</v>
      </c>
      <c r="P8" s="77">
        <f>DATE(2018,5,2)</f>
        <v>43222</v>
      </c>
      <c r="Q8" s="51">
        <v>1500</v>
      </c>
      <c r="R8" s="49"/>
      <c r="S8" s="51">
        <v>2.5</v>
      </c>
      <c r="U8" s="47">
        <f t="shared" si="0"/>
        <v>731</v>
      </c>
      <c r="V8" s="31">
        <f t="shared" si="1"/>
        <v>2.0519835841313268</v>
      </c>
      <c r="W8" s="31">
        <f t="shared" si="2"/>
        <v>748.97400820793428</v>
      </c>
      <c r="X8" s="31">
        <f t="shared" si="3"/>
        <v>0.93621751025991784</v>
      </c>
      <c r="Y8" s="31"/>
      <c r="Z8" s="31"/>
      <c r="AA8" s="32">
        <f t="shared" si="4"/>
        <v>42552</v>
      </c>
      <c r="AB8" s="77">
        <f t="shared" si="5"/>
        <v>42735</v>
      </c>
      <c r="AC8" s="52">
        <v>80</v>
      </c>
      <c r="AD8" s="47">
        <f t="shared" si="6"/>
        <v>184</v>
      </c>
      <c r="AE8" s="47">
        <f t="shared" si="7"/>
        <v>0</v>
      </c>
      <c r="AF8" s="47">
        <f t="shared" si="8"/>
        <v>0</v>
      </c>
      <c r="AG8" s="47">
        <f t="shared" si="9"/>
        <v>0</v>
      </c>
      <c r="AH8" s="47">
        <f t="shared" si="10"/>
        <v>0</v>
      </c>
      <c r="AI8" s="23">
        <f t="shared" si="11"/>
        <v>1</v>
      </c>
      <c r="AJ8" s="23">
        <f t="shared" si="12"/>
        <v>0.93621751025991784</v>
      </c>
      <c r="AK8" s="23">
        <f t="shared" si="13"/>
        <v>74.897400820793422</v>
      </c>
      <c r="AL8" s="23">
        <f t="shared" si="14"/>
        <v>187.24350205198357</v>
      </c>
      <c r="AM8" s="23">
        <f t="shared" si="15"/>
        <v>0</v>
      </c>
      <c r="AN8" s="23">
        <f t="shared" si="16"/>
        <v>187.24350205198357</v>
      </c>
      <c r="AO8" s="23"/>
      <c r="AP8" s="23"/>
      <c r="AQ8" s="32">
        <f t="shared" si="17"/>
        <v>42736</v>
      </c>
      <c r="AR8" s="73">
        <f t="shared" si="18"/>
        <v>42916</v>
      </c>
      <c r="AS8" s="52">
        <v>80</v>
      </c>
      <c r="AT8" s="47">
        <f t="shared" si="19"/>
        <v>181</v>
      </c>
      <c r="AU8" s="47">
        <f t="shared" si="20"/>
        <v>0</v>
      </c>
      <c r="AV8" s="47">
        <f t="shared" si="21"/>
        <v>0</v>
      </c>
      <c r="AW8" s="47">
        <f t="shared" si="22"/>
        <v>0</v>
      </c>
      <c r="AX8" s="47">
        <f t="shared" si="23"/>
        <v>0</v>
      </c>
      <c r="AY8" s="23">
        <f t="shared" si="24"/>
        <v>1</v>
      </c>
      <c r="AZ8" s="23">
        <f t="shared" si="25"/>
        <v>0.93621751025991784</v>
      </c>
      <c r="BA8" s="23">
        <f t="shared" si="26"/>
        <v>74.897400820793422</v>
      </c>
      <c r="BB8" s="23">
        <f t="shared" si="27"/>
        <v>187.24350205198357</v>
      </c>
      <c r="BC8" s="23">
        <f t="shared" si="28"/>
        <v>0</v>
      </c>
      <c r="BD8" s="23">
        <f t="shared" si="29"/>
        <v>187.24350205198357</v>
      </c>
    </row>
    <row r="9" spans="1:57" s="47" customFormat="1">
      <c r="A9" s="47" t="s">
        <v>20</v>
      </c>
      <c r="B9" s="47" t="s">
        <v>30</v>
      </c>
      <c r="C9" s="47" t="s">
        <v>22</v>
      </c>
      <c r="D9" s="47" t="s">
        <v>31</v>
      </c>
      <c r="E9" s="51" t="s">
        <v>107</v>
      </c>
      <c r="F9" s="51" t="s">
        <v>108</v>
      </c>
      <c r="G9" s="51" t="s">
        <v>109</v>
      </c>
      <c r="H9" s="47" t="s">
        <v>127</v>
      </c>
      <c r="I9" s="47" t="s">
        <v>128</v>
      </c>
      <c r="J9" s="51" t="s">
        <v>112</v>
      </c>
      <c r="K9" s="51" t="s">
        <v>112</v>
      </c>
      <c r="L9" s="51" t="s">
        <v>112</v>
      </c>
      <c r="M9" s="47">
        <v>2030872</v>
      </c>
      <c r="N9" s="52" t="s">
        <v>967</v>
      </c>
      <c r="O9" s="77">
        <f>DATE(2016,6,6)</f>
        <v>42527</v>
      </c>
      <c r="P9" s="77">
        <f>DATE(2019,6,30)</f>
        <v>43646</v>
      </c>
      <c r="Q9" s="51">
        <v>4000</v>
      </c>
      <c r="R9" s="49"/>
      <c r="S9" s="51">
        <v>2.5</v>
      </c>
      <c r="U9" s="47">
        <f t="shared" si="0"/>
        <v>1120</v>
      </c>
      <c r="V9" s="31">
        <f t="shared" si="1"/>
        <v>3.5714285714285716</v>
      </c>
      <c r="W9" s="31">
        <f t="shared" si="2"/>
        <v>1303.5714285714287</v>
      </c>
      <c r="X9" s="31">
        <f t="shared" si="3"/>
        <v>1.6294642857142858</v>
      </c>
      <c r="Y9" s="31"/>
      <c r="Z9" s="31"/>
      <c r="AA9" s="32">
        <f t="shared" si="4"/>
        <v>42552</v>
      </c>
      <c r="AB9" s="77">
        <f t="shared" si="5"/>
        <v>42735</v>
      </c>
      <c r="AC9" s="52">
        <v>39</v>
      </c>
      <c r="AD9" s="47">
        <f t="shared" si="6"/>
        <v>184</v>
      </c>
      <c r="AE9" s="47">
        <f t="shared" si="7"/>
        <v>0</v>
      </c>
      <c r="AF9" s="47">
        <f t="shared" si="8"/>
        <v>0</v>
      </c>
      <c r="AG9" s="47">
        <f t="shared" si="9"/>
        <v>0</v>
      </c>
      <c r="AH9" s="47">
        <f t="shared" si="10"/>
        <v>0</v>
      </c>
      <c r="AI9" s="23">
        <f t="shared" si="11"/>
        <v>1</v>
      </c>
      <c r="AJ9" s="23">
        <f t="shared" si="12"/>
        <v>1.6294642857142858</v>
      </c>
      <c r="AK9" s="23">
        <f t="shared" si="13"/>
        <v>63.549107142857146</v>
      </c>
      <c r="AL9" s="23">
        <f t="shared" si="14"/>
        <v>158.87276785714286</v>
      </c>
      <c r="AM9" s="23">
        <f t="shared" si="15"/>
        <v>0</v>
      </c>
      <c r="AN9" s="23">
        <f t="shared" si="16"/>
        <v>158.87276785714286</v>
      </c>
      <c r="AO9" s="23"/>
      <c r="AP9" s="23"/>
      <c r="AQ9" s="32">
        <f t="shared" si="17"/>
        <v>42736</v>
      </c>
      <c r="AR9" s="73">
        <f t="shared" si="18"/>
        <v>42916</v>
      </c>
      <c r="AS9" s="52">
        <v>39</v>
      </c>
      <c r="AT9" s="47">
        <f t="shared" si="19"/>
        <v>181</v>
      </c>
      <c r="AU9" s="47">
        <f t="shared" si="20"/>
        <v>0</v>
      </c>
      <c r="AV9" s="47">
        <f t="shared" si="21"/>
        <v>0</v>
      </c>
      <c r="AW9" s="47">
        <f t="shared" si="22"/>
        <v>0</v>
      </c>
      <c r="AX9" s="47">
        <f t="shared" si="23"/>
        <v>0</v>
      </c>
      <c r="AY9" s="23">
        <f t="shared" si="24"/>
        <v>1</v>
      </c>
      <c r="AZ9" s="23">
        <f t="shared" si="25"/>
        <v>1.6294642857142858</v>
      </c>
      <c r="BA9" s="23">
        <f t="shared" si="26"/>
        <v>63.549107142857146</v>
      </c>
      <c r="BB9" s="23">
        <f t="shared" si="27"/>
        <v>158.87276785714286</v>
      </c>
      <c r="BC9" s="23">
        <f t="shared" si="28"/>
        <v>0</v>
      </c>
      <c r="BD9" s="23">
        <f t="shared" si="29"/>
        <v>158.87276785714286</v>
      </c>
    </row>
    <row r="10" spans="1:57" s="47" customFormat="1">
      <c r="A10" s="47" t="s">
        <v>20</v>
      </c>
      <c r="B10" s="47" t="s">
        <v>30</v>
      </c>
      <c r="C10" s="47" t="s">
        <v>22</v>
      </c>
      <c r="D10" s="47" t="s">
        <v>31</v>
      </c>
      <c r="E10" s="51" t="s">
        <v>107</v>
      </c>
      <c r="F10" s="51" t="s">
        <v>108</v>
      </c>
      <c r="G10" s="51" t="s">
        <v>109</v>
      </c>
      <c r="H10" s="47" t="s">
        <v>127</v>
      </c>
      <c r="I10" s="47" t="s">
        <v>128</v>
      </c>
      <c r="J10" s="51" t="s">
        <v>112</v>
      </c>
      <c r="K10" s="51" t="s">
        <v>112</v>
      </c>
      <c r="L10" s="51" t="s">
        <v>112</v>
      </c>
      <c r="M10" s="47">
        <v>2141527</v>
      </c>
      <c r="N10" s="52" t="s">
        <v>968</v>
      </c>
      <c r="O10" s="77">
        <f>DATE(2017,3,6)</f>
        <v>42800</v>
      </c>
      <c r="P10" s="77">
        <f>DATE(2020,6,30)</f>
        <v>44012</v>
      </c>
      <c r="Q10" s="51">
        <v>4000</v>
      </c>
      <c r="R10" s="49"/>
      <c r="S10" s="51">
        <v>2.5</v>
      </c>
      <c r="U10" s="47">
        <f t="shared" si="0"/>
        <v>1213</v>
      </c>
      <c r="V10" s="31">
        <f t="shared" si="1"/>
        <v>3.2976092333058533</v>
      </c>
      <c r="W10" s="31">
        <f t="shared" si="2"/>
        <v>1203.6273701566365</v>
      </c>
      <c r="X10" s="31">
        <f t="shared" si="3"/>
        <v>1.5045342126957957</v>
      </c>
      <c r="Y10" s="31"/>
      <c r="Z10" s="31"/>
      <c r="AA10" s="32">
        <f t="shared" si="4"/>
        <v>42552</v>
      </c>
      <c r="AB10" s="77">
        <f t="shared" si="5"/>
        <v>42735</v>
      </c>
      <c r="AC10" s="49">
        <v>0</v>
      </c>
      <c r="AD10" s="47">
        <f t="shared" si="6"/>
        <v>0</v>
      </c>
      <c r="AE10" s="47">
        <f t="shared" si="7"/>
        <v>0</v>
      </c>
      <c r="AF10" s="47">
        <f t="shared" si="8"/>
        <v>0</v>
      </c>
      <c r="AG10" s="47">
        <f t="shared" si="9"/>
        <v>0</v>
      </c>
      <c r="AH10" s="47">
        <f t="shared" si="10"/>
        <v>0</v>
      </c>
      <c r="AI10" s="23">
        <f t="shared" si="11"/>
        <v>0</v>
      </c>
      <c r="AJ10" s="23">
        <f t="shared" si="12"/>
        <v>0</v>
      </c>
      <c r="AK10" s="23">
        <f t="shared" si="13"/>
        <v>0</v>
      </c>
      <c r="AL10" s="23">
        <f t="shared" si="14"/>
        <v>0</v>
      </c>
      <c r="AM10" s="23">
        <f t="shared" si="15"/>
        <v>0</v>
      </c>
      <c r="AN10" s="23">
        <f t="shared" si="16"/>
        <v>0</v>
      </c>
      <c r="AO10" s="23"/>
      <c r="AP10" s="23"/>
      <c r="AQ10" s="32">
        <f t="shared" si="17"/>
        <v>42736</v>
      </c>
      <c r="AR10" s="73">
        <f t="shared" si="18"/>
        <v>42916</v>
      </c>
      <c r="AS10" s="52">
        <v>41</v>
      </c>
      <c r="AT10" s="47">
        <f t="shared" si="19"/>
        <v>0</v>
      </c>
      <c r="AU10" s="47">
        <f t="shared" si="20"/>
        <v>117</v>
      </c>
      <c r="AV10" s="47">
        <f t="shared" si="21"/>
        <v>0</v>
      </c>
      <c r="AW10" s="47">
        <f t="shared" si="22"/>
        <v>0</v>
      </c>
      <c r="AX10" s="47">
        <f t="shared" si="23"/>
        <v>0</v>
      </c>
      <c r="AY10" s="23">
        <f t="shared" si="24"/>
        <v>0.64640883977900554</v>
      </c>
      <c r="AZ10" s="23">
        <f t="shared" si="25"/>
        <v>0.97254421483650888</v>
      </c>
      <c r="BA10" s="23">
        <f t="shared" si="26"/>
        <v>39.874312808296864</v>
      </c>
      <c r="BB10" s="23">
        <f t="shared" si="27"/>
        <v>99.685782020742153</v>
      </c>
      <c r="BC10" s="23">
        <f t="shared" si="28"/>
        <v>0</v>
      </c>
      <c r="BD10" s="23">
        <f t="shared" si="29"/>
        <v>99.685782020742153</v>
      </c>
    </row>
    <row r="11" spans="1:57" s="47" customFormat="1">
      <c r="A11" s="74" t="s">
        <v>20</v>
      </c>
      <c r="B11" s="47" t="s">
        <v>30</v>
      </c>
      <c r="C11" s="47" t="s">
        <v>22</v>
      </c>
      <c r="D11" s="47" t="s">
        <v>31</v>
      </c>
      <c r="E11" s="51" t="s">
        <v>107</v>
      </c>
      <c r="F11" s="51" t="s">
        <v>108</v>
      </c>
      <c r="G11" s="51" t="s">
        <v>109</v>
      </c>
      <c r="H11" s="47" t="s">
        <v>964</v>
      </c>
      <c r="I11" s="47" t="s">
        <v>128</v>
      </c>
      <c r="J11" s="51" t="s">
        <v>112</v>
      </c>
      <c r="K11" s="51" t="s">
        <v>112</v>
      </c>
      <c r="L11" s="51" t="s">
        <v>112</v>
      </c>
      <c r="M11" s="47">
        <v>2161555</v>
      </c>
      <c r="N11" s="52" t="s">
        <v>969</v>
      </c>
      <c r="O11" s="77">
        <f>DATE(2017,5,8)</f>
        <v>42863</v>
      </c>
      <c r="P11" s="77">
        <f>DATE(2020,7,8)</f>
        <v>44020</v>
      </c>
      <c r="Q11" s="51">
        <v>4000</v>
      </c>
      <c r="R11" s="49"/>
      <c r="S11" s="51">
        <v>2.5</v>
      </c>
      <c r="U11" s="47">
        <f t="shared" si="0"/>
        <v>1158</v>
      </c>
      <c r="V11" s="31">
        <f t="shared" si="1"/>
        <v>3.4542314335060449</v>
      </c>
      <c r="W11" s="31">
        <f t="shared" si="2"/>
        <v>1260.7944732297065</v>
      </c>
      <c r="X11" s="31">
        <f t="shared" si="3"/>
        <v>1.575993091537133</v>
      </c>
      <c r="Y11" s="31"/>
      <c r="Z11" s="31"/>
      <c r="AA11" s="32">
        <f t="shared" si="4"/>
        <v>42552</v>
      </c>
      <c r="AB11" s="77">
        <f t="shared" si="5"/>
        <v>42735</v>
      </c>
      <c r="AC11" s="49">
        <v>0</v>
      </c>
      <c r="AD11" s="47">
        <f t="shared" si="6"/>
        <v>0</v>
      </c>
      <c r="AE11" s="47">
        <f t="shared" si="7"/>
        <v>0</v>
      </c>
      <c r="AF11" s="47">
        <f t="shared" si="8"/>
        <v>0</v>
      </c>
      <c r="AG11" s="47">
        <f t="shared" si="9"/>
        <v>0</v>
      </c>
      <c r="AH11" s="47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O11" s="23"/>
      <c r="AP11" s="23"/>
      <c r="AQ11" s="32">
        <f t="shared" si="17"/>
        <v>42736</v>
      </c>
      <c r="AR11" s="73">
        <f t="shared" si="18"/>
        <v>42916</v>
      </c>
      <c r="AS11" s="52">
        <v>41</v>
      </c>
      <c r="AT11" s="47">
        <f t="shared" si="19"/>
        <v>0</v>
      </c>
      <c r="AU11" s="47">
        <f t="shared" si="20"/>
        <v>54</v>
      </c>
      <c r="AV11" s="47">
        <f t="shared" si="21"/>
        <v>0</v>
      </c>
      <c r="AW11" s="47">
        <f t="shared" si="22"/>
        <v>0</v>
      </c>
      <c r="AX11" s="47">
        <f t="shared" si="23"/>
        <v>0</v>
      </c>
      <c r="AY11" s="23">
        <f t="shared" si="24"/>
        <v>0.2983425414364641</v>
      </c>
      <c r="AZ11" s="23">
        <f t="shared" si="25"/>
        <v>0.47018578421549828</v>
      </c>
      <c r="BA11" s="23">
        <f t="shared" si="26"/>
        <v>19.277617152835429</v>
      </c>
      <c r="BB11" s="23">
        <f t="shared" si="27"/>
        <v>48.194042882088574</v>
      </c>
      <c r="BC11" s="23">
        <f t="shared" si="28"/>
        <v>0</v>
      </c>
      <c r="BD11" s="23">
        <f t="shared" si="29"/>
        <v>48.194042882088574</v>
      </c>
    </row>
    <row r="12" spans="1:57" s="47" customFormat="1">
      <c r="A12" s="47" t="s">
        <v>20</v>
      </c>
      <c r="B12" s="47" t="s">
        <v>30</v>
      </c>
      <c r="C12" s="47" t="s">
        <v>22</v>
      </c>
      <c r="D12" s="47" t="s">
        <v>31</v>
      </c>
      <c r="E12" s="51" t="s">
        <v>107</v>
      </c>
      <c r="F12" s="51" t="s">
        <v>108</v>
      </c>
      <c r="G12" s="51" t="s">
        <v>109</v>
      </c>
      <c r="H12" s="47" t="s">
        <v>898</v>
      </c>
      <c r="I12" s="47" t="s">
        <v>128</v>
      </c>
      <c r="J12" s="51" t="s">
        <v>112</v>
      </c>
      <c r="K12" s="51" t="s">
        <v>112</v>
      </c>
      <c r="L12" s="51" t="s">
        <v>112</v>
      </c>
      <c r="M12" s="47">
        <v>2165282</v>
      </c>
      <c r="N12" s="52" t="s">
        <v>970</v>
      </c>
      <c r="O12" s="77">
        <f>DATE(2017,5,22)</f>
        <v>42877</v>
      </c>
      <c r="P12" s="77">
        <f>DATE(2019,8,22)</f>
        <v>43699</v>
      </c>
      <c r="Q12" s="51">
        <v>1200</v>
      </c>
      <c r="R12" s="49"/>
      <c r="S12" s="51">
        <v>2.5</v>
      </c>
      <c r="U12" s="47">
        <f t="shared" si="0"/>
        <v>823</v>
      </c>
      <c r="V12" s="31">
        <f t="shared" si="1"/>
        <v>1.4580801944106927</v>
      </c>
      <c r="W12" s="31">
        <f t="shared" si="2"/>
        <v>532.19927095990283</v>
      </c>
      <c r="X12" s="31">
        <f t="shared" si="3"/>
        <v>0.66524908869987853</v>
      </c>
      <c r="Y12" s="31"/>
      <c r="Z12" s="31"/>
      <c r="AA12" s="32">
        <f t="shared" si="4"/>
        <v>42552</v>
      </c>
      <c r="AB12" s="77">
        <f t="shared" si="5"/>
        <v>42735</v>
      </c>
      <c r="AC12" s="49">
        <v>0</v>
      </c>
      <c r="AD12" s="47">
        <f t="shared" si="6"/>
        <v>0</v>
      </c>
      <c r="AE12" s="47">
        <f t="shared" si="7"/>
        <v>0</v>
      </c>
      <c r="AF12" s="47">
        <f t="shared" si="8"/>
        <v>0</v>
      </c>
      <c r="AG12" s="47">
        <f t="shared" si="9"/>
        <v>0</v>
      </c>
      <c r="AH12" s="47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O12" s="23"/>
      <c r="AP12" s="23"/>
      <c r="AQ12" s="32">
        <f t="shared" si="17"/>
        <v>42736</v>
      </c>
      <c r="AR12" s="73">
        <f t="shared" si="18"/>
        <v>42916</v>
      </c>
      <c r="AS12" s="52">
        <v>40</v>
      </c>
      <c r="AT12" s="47">
        <f t="shared" si="19"/>
        <v>0</v>
      </c>
      <c r="AU12" s="47">
        <f t="shared" si="20"/>
        <v>40</v>
      </c>
      <c r="AV12" s="47">
        <f t="shared" si="21"/>
        <v>0</v>
      </c>
      <c r="AW12" s="47">
        <f t="shared" si="22"/>
        <v>0</v>
      </c>
      <c r="AX12" s="47">
        <f t="shared" si="23"/>
        <v>0</v>
      </c>
      <c r="AY12" s="23">
        <f t="shared" si="24"/>
        <v>0.22099447513812154</v>
      </c>
      <c r="AZ12" s="23">
        <f t="shared" si="25"/>
        <v>0.14701637319334332</v>
      </c>
      <c r="BA12" s="23">
        <f t="shared" si="26"/>
        <v>5.8806549277337332</v>
      </c>
      <c r="BB12" s="23">
        <f t="shared" si="27"/>
        <v>14.701637319334333</v>
      </c>
      <c r="BC12" s="23">
        <f t="shared" si="28"/>
        <v>0</v>
      </c>
      <c r="BD12" s="23">
        <f t="shared" si="29"/>
        <v>14.701637319334333</v>
      </c>
    </row>
    <row r="13" spans="1:57" s="47" customFormat="1">
      <c r="A13" s="47" t="s">
        <v>20</v>
      </c>
      <c r="B13" s="47" t="s">
        <v>30</v>
      </c>
      <c r="C13" s="47" t="s">
        <v>22</v>
      </c>
      <c r="D13" s="47" t="s">
        <v>31</v>
      </c>
      <c r="E13" s="51" t="s">
        <v>107</v>
      </c>
      <c r="F13" s="51" t="s">
        <v>108</v>
      </c>
      <c r="G13" s="51" t="s">
        <v>109</v>
      </c>
      <c r="H13" s="47" t="s">
        <v>136</v>
      </c>
      <c r="I13" s="47" t="s">
        <v>131</v>
      </c>
      <c r="J13" s="51" t="s">
        <v>112</v>
      </c>
      <c r="K13" s="51" t="s">
        <v>112</v>
      </c>
      <c r="L13" s="51" t="s">
        <v>112</v>
      </c>
      <c r="M13" s="47">
        <v>2165283</v>
      </c>
      <c r="N13" s="52" t="s">
        <v>971</v>
      </c>
      <c r="O13" s="77">
        <f>DATE(2017,5,22)</f>
        <v>42877</v>
      </c>
      <c r="P13" s="77">
        <f>DATE(2019,8,22)</f>
        <v>43699</v>
      </c>
      <c r="Q13" s="51">
        <v>1200</v>
      </c>
      <c r="R13" s="49"/>
      <c r="S13" s="51">
        <v>1</v>
      </c>
      <c r="U13" s="47">
        <f t="shared" si="0"/>
        <v>823</v>
      </c>
      <c r="V13" s="31">
        <f t="shared" si="1"/>
        <v>1.4580801944106927</v>
      </c>
      <c r="W13" s="31">
        <f t="shared" si="2"/>
        <v>532.19927095990283</v>
      </c>
      <c r="X13" s="31">
        <f t="shared" si="3"/>
        <v>0.66524908869987853</v>
      </c>
      <c r="Y13" s="31"/>
      <c r="Z13" s="31"/>
      <c r="AA13" s="32">
        <f t="shared" si="4"/>
        <v>42552</v>
      </c>
      <c r="AB13" s="77">
        <f t="shared" si="5"/>
        <v>42735</v>
      </c>
      <c r="AC13" s="49">
        <v>0</v>
      </c>
      <c r="AD13" s="47">
        <f t="shared" si="6"/>
        <v>0</v>
      </c>
      <c r="AE13" s="47">
        <f t="shared" si="7"/>
        <v>0</v>
      </c>
      <c r="AF13" s="47">
        <f t="shared" si="8"/>
        <v>0</v>
      </c>
      <c r="AG13" s="47">
        <f t="shared" si="9"/>
        <v>0</v>
      </c>
      <c r="AH13" s="47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O13" s="23"/>
      <c r="AP13" s="23"/>
      <c r="AQ13" s="32">
        <f t="shared" si="17"/>
        <v>42736</v>
      </c>
      <c r="AR13" s="73">
        <f t="shared" si="18"/>
        <v>42916</v>
      </c>
      <c r="AS13" s="52">
        <v>40</v>
      </c>
      <c r="AT13" s="47">
        <f t="shared" si="19"/>
        <v>0</v>
      </c>
      <c r="AU13" s="47">
        <f t="shared" si="20"/>
        <v>40</v>
      </c>
      <c r="AV13" s="47">
        <f t="shared" si="21"/>
        <v>0</v>
      </c>
      <c r="AW13" s="47">
        <f t="shared" si="22"/>
        <v>0</v>
      </c>
      <c r="AX13" s="47">
        <f t="shared" si="23"/>
        <v>0</v>
      </c>
      <c r="AY13" s="23">
        <f t="shared" si="24"/>
        <v>0.22099447513812154</v>
      </c>
      <c r="AZ13" s="23">
        <f t="shared" si="25"/>
        <v>0.14701637319334332</v>
      </c>
      <c r="BA13" s="23">
        <f t="shared" si="26"/>
        <v>5.8806549277337332</v>
      </c>
      <c r="BB13" s="23">
        <f t="shared" si="27"/>
        <v>5.8806549277337332</v>
      </c>
      <c r="BC13" s="23">
        <f t="shared" si="28"/>
        <v>0</v>
      </c>
      <c r="BD13" s="23">
        <f t="shared" si="29"/>
        <v>5.8806549277337332</v>
      </c>
    </row>
    <row r="14" spans="1:57" s="47" customFormat="1">
      <c r="A14" s="47" t="s">
        <v>20</v>
      </c>
      <c r="B14" s="47" t="s">
        <v>30</v>
      </c>
      <c r="C14" s="47" t="s">
        <v>22</v>
      </c>
      <c r="D14" s="47" t="s">
        <v>31</v>
      </c>
      <c r="E14" s="51" t="s">
        <v>107</v>
      </c>
      <c r="F14" s="51" t="s">
        <v>294</v>
      </c>
      <c r="G14" s="51" t="s">
        <v>109</v>
      </c>
      <c r="H14" s="47" t="s">
        <v>972</v>
      </c>
      <c r="I14" s="47" t="s">
        <v>128</v>
      </c>
      <c r="J14" s="51" t="s">
        <v>112</v>
      </c>
      <c r="K14" s="51" t="s">
        <v>112</v>
      </c>
      <c r="L14" s="51" t="s">
        <v>112</v>
      </c>
      <c r="M14" s="47">
        <v>2171040</v>
      </c>
      <c r="N14" s="52" t="s">
        <v>973</v>
      </c>
      <c r="O14" s="77">
        <f>DATE(2017,5,23)</f>
        <v>42878</v>
      </c>
      <c r="P14" s="77">
        <f>DATE(2020,8,23)</f>
        <v>44066</v>
      </c>
      <c r="Q14" s="51">
        <v>3076</v>
      </c>
      <c r="R14" s="49"/>
      <c r="S14" s="51">
        <v>2.5</v>
      </c>
      <c r="U14" s="47">
        <f t="shared" si="0"/>
        <v>1189</v>
      </c>
      <c r="V14" s="31">
        <f t="shared" si="1"/>
        <v>2.5870479394449117</v>
      </c>
      <c r="W14" s="31">
        <f t="shared" si="2"/>
        <v>944.27249789739278</v>
      </c>
      <c r="X14" s="31">
        <f t="shared" si="3"/>
        <v>1.180340622371741</v>
      </c>
      <c r="Y14" s="31"/>
      <c r="Z14" s="31"/>
      <c r="AA14" s="32">
        <f t="shared" si="4"/>
        <v>42552</v>
      </c>
      <c r="AB14" s="77">
        <f t="shared" si="5"/>
        <v>42735</v>
      </c>
      <c r="AC14" s="49">
        <v>0</v>
      </c>
      <c r="AD14" s="47">
        <f t="shared" si="6"/>
        <v>0</v>
      </c>
      <c r="AE14" s="47">
        <f t="shared" si="7"/>
        <v>0</v>
      </c>
      <c r="AF14" s="47">
        <f t="shared" si="8"/>
        <v>0</v>
      </c>
      <c r="AG14" s="47">
        <f t="shared" si="9"/>
        <v>0</v>
      </c>
      <c r="AH14" s="47">
        <f t="shared" si="10"/>
        <v>0</v>
      </c>
      <c r="AI14" s="23">
        <f t="shared" si="11"/>
        <v>0</v>
      </c>
      <c r="AJ14" s="23">
        <f t="shared" si="12"/>
        <v>0</v>
      </c>
      <c r="AK14" s="23">
        <f t="shared" si="13"/>
        <v>0</v>
      </c>
      <c r="AL14" s="23">
        <f t="shared" si="14"/>
        <v>0</v>
      </c>
      <c r="AM14" s="23">
        <f t="shared" si="15"/>
        <v>0</v>
      </c>
      <c r="AN14" s="23">
        <f t="shared" si="16"/>
        <v>0</v>
      </c>
      <c r="AO14" s="23"/>
      <c r="AP14" s="23"/>
      <c r="AQ14" s="32">
        <f t="shared" si="17"/>
        <v>42736</v>
      </c>
      <c r="AR14" s="73">
        <f t="shared" si="18"/>
        <v>42916</v>
      </c>
      <c r="AS14" s="52">
        <v>40</v>
      </c>
      <c r="AT14" s="47">
        <f t="shared" si="19"/>
        <v>0</v>
      </c>
      <c r="AU14" s="47">
        <f t="shared" si="20"/>
        <v>39</v>
      </c>
      <c r="AV14" s="47">
        <f t="shared" si="21"/>
        <v>0</v>
      </c>
      <c r="AW14" s="47">
        <f t="shared" si="22"/>
        <v>0</v>
      </c>
      <c r="AX14" s="47">
        <f t="shared" si="23"/>
        <v>0</v>
      </c>
      <c r="AY14" s="23">
        <f t="shared" si="24"/>
        <v>0.21546961325966851</v>
      </c>
      <c r="AZ14" s="23">
        <f t="shared" si="25"/>
        <v>0.25432753741711545</v>
      </c>
      <c r="BA14" s="23">
        <f t="shared" si="26"/>
        <v>10.173101496684618</v>
      </c>
      <c r="BB14" s="23">
        <f t="shared" si="27"/>
        <v>25.432753741711544</v>
      </c>
      <c r="BC14" s="23">
        <f t="shared" si="28"/>
        <v>0</v>
      </c>
      <c r="BD14" s="23">
        <f t="shared" si="29"/>
        <v>25.432753741711544</v>
      </c>
    </row>
  </sheetData>
  <mergeCells count="2">
    <mergeCell ref="A1:AB1"/>
    <mergeCell ref="AC1:BD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74"/>
  <sheetViews>
    <sheetView topLeftCell="I44" workbookViewId="0">
      <selection activeCell="O64" sqref="O64:O74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14.28515625" style="31" customWidth="1"/>
    <col min="27" max="27" width="14" style="32" customWidth="1"/>
    <col min="28" max="28" width="15" style="32" customWidth="1"/>
    <col min="29" max="29" width="9.85546875" style="1" customWidth="1"/>
    <col min="30" max="30" width="6.42578125" style="1" customWidth="1"/>
    <col min="31" max="31" width="7.42578125" style="1" customWidth="1"/>
    <col min="32" max="32" width="6.140625" style="1" customWidth="1"/>
    <col min="33" max="33" width="9" style="1" customWidth="1"/>
    <col min="34" max="34" width="7.85546875" style="1" customWidth="1"/>
    <col min="35" max="35" width="8.85546875" style="23" customWidth="1"/>
    <col min="36" max="36" width="7.7109375" style="23" customWidth="1"/>
    <col min="37" max="37" width="11.140625" style="23" customWidth="1"/>
    <col min="38" max="38" width="10.5703125" style="23" customWidth="1"/>
    <col min="39" max="39" width="10.28515625" style="23" customWidth="1"/>
    <col min="40" max="40" width="9.5703125" style="23" customWidth="1"/>
    <col min="41" max="41" width="2.7109375" style="23" customWidth="1"/>
    <col min="42" max="42" width="8.85546875" style="23" customWidth="1"/>
    <col min="43" max="43" width="11.7109375" style="32" customWidth="1"/>
    <col min="44" max="44" width="12.7109375" style="32" customWidth="1"/>
    <col min="45" max="45" width="1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28</v>
      </c>
      <c r="C4" s="1" t="s">
        <v>22</v>
      </c>
      <c r="D4" s="1" t="s">
        <v>29</v>
      </c>
      <c r="E4" s="51" t="s">
        <v>107</v>
      </c>
      <c r="F4" s="51" t="s">
        <v>108</v>
      </c>
      <c r="G4" s="51" t="s">
        <v>109</v>
      </c>
      <c r="H4" s="1" t="s">
        <v>110</v>
      </c>
      <c r="I4" s="1" t="s">
        <v>111</v>
      </c>
      <c r="J4" s="51" t="s">
        <v>112</v>
      </c>
      <c r="K4" s="51" t="s">
        <v>112</v>
      </c>
      <c r="L4" s="51" t="s">
        <v>112</v>
      </c>
      <c r="M4" s="1">
        <v>350687</v>
      </c>
      <c r="N4" s="56" t="s">
        <v>113</v>
      </c>
      <c r="O4" s="55">
        <f>DATE(2010,3,1)</f>
        <v>40238</v>
      </c>
      <c r="P4" s="55">
        <f>DATE(2013,9,1)</f>
        <v>41518</v>
      </c>
      <c r="Q4" s="51">
        <v>3027</v>
      </c>
      <c r="S4" s="51">
        <v>2</v>
      </c>
      <c r="U4" s="1">
        <f t="shared" ref="U4:U35" si="0">P4-O4+1</f>
        <v>1281</v>
      </c>
      <c r="V4" s="31">
        <f t="shared" ref="V4:V35" si="1">Q4/U4</f>
        <v>2.3629976580796255</v>
      </c>
      <c r="W4" s="31">
        <f t="shared" ref="W4:W35" si="2">IF(U4&gt;365,V4*365,Q4)</f>
        <v>862.49414519906327</v>
      </c>
      <c r="X4" s="31">
        <f t="shared" ref="X4:X35" si="3">IF(U4&gt;365,W4/800,Q4/800)</f>
        <v>1.0781176814988291</v>
      </c>
      <c r="AA4" s="32">
        <f t="shared" ref="AA4:AA35" si="4">DATE(2016,7,1)</f>
        <v>42552</v>
      </c>
      <c r="AB4" s="32">
        <f t="shared" ref="AB4:AB35" si="5">DATE(2016,12,31)</f>
        <v>42735</v>
      </c>
      <c r="AC4" s="50">
        <v>2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0.53905884074941457</v>
      </c>
      <c r="AK4" s="23">
        <f t="shared" ref="AK4:AK35" si="13">IF(AH4=0,AJ4*AC4,IF(AA4-P4&gt;1095,0,AJ4*(AC4/2)))</f>
        <v>0.53905884074941457</v>
      </c>
      <c r="AL4" s="23">
        <f t="shared" ref="AL4:AL35" si="14">AK4*S4</f>
        <v>1.0781176814988291</v>
      </c>
      <c r="AM4" s="23">
        <f t="shared" ref="AM4:AM35" si="15">IF(J4="SIM",AL4*50%,0)</f>
        <v>0</v>
      </c>
      <c r="AN4" s="23">
        <f t="shared" ref="AN4:AN35" si="16">AL4+AM4</f>
        <v>1.0781176814988291</v>
      </c>
      <c r="AQ4" s="32">
        <f t="shared" ref="AQ4:AQ35" si="17">DATE(2017,1,1)</f>
        <v>42736</v>
      </c>
      <c r="AR4" s="32">
        <f t="shared" ref="AR4:AR35" si="18">DATE(2017,6,30)</f>
        <v>42916</v>
      </c>
      <c r="AS4" s="56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0.53905884074941457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28</v>
      </c>
      <c r="C5" s="1" t="s">
        <v>22</v>
      </c>
      <c r="D5" s="1" t="s">
        <v>29</v>
      </c>
      <c r="E5" s="51" t="s">
        <v>107</v>
      </c>
      <c r="F5" s="51" t="s">
        <v>114</v>
      </c>
      <c r="G5" s="51" t="s">
        <v>109</v>
      </c>
      <c r="H5" s="1" t="s">
        <v>115</v>
      </c>
      <c r="I5" s="1" t="s">
        <v>116</v>
      </c>
      <c r="J5" s="51" t="s">
        <v>112</v>
      </c>
      <c r="K5" s="51" t="s">
        <v>112</v>
      </c>
      <c r="L5" s="51" t="s">
        <v>112</v>
      </c>
      <c r="M5" s="1">
        <v>394033</v>
      </c>
      <c r="N5" s="56" t="s">
        <v>117</v>
      </c>
      <c r="O5" s="55">
        <f>DATE(2009,7,20)</f>
        <v>40014</v>
      </c>
      <c r="P5" s="55">
        <f>DATE(2014,1,1)</f>
        <v>41640</v>
      </c>
      <c r="Q5" s="51">
        <v>3960</v>
      </c>
      <c r="S5" s="51">
        <v>2.5</v>
      </c>
      <c r="U5" s="1">
        <f t="shared" si="0"/>
        <v>1627</v>
      </c>
      <c r="V5" s="31">
        <f t="shared" si="1"/>
        <v>2.4339274738783034</v>
      </c>
      <c r="W5" s="31">
        <f t="shared" si="2"/>
        <v>888.38352796558081</v>
      </c>
      <c r="X5" s="31">
        <f t="shared" si="3"/>
        <v>1.1104794099569759</v>
      </c>
      <c r="AA5" s="32">
        <f t="shared" si="4"/>
        <v>42552</v>
      </c>
      <c r="AB5" s="32">
        <f t="shared" si="5"/>
        <v>42735</v>
      </c>
      <c r="AC5" s="50">
        <v>4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0.55523970497848796</v>
      </c>
      <c r="AK5" s="23">
        <f t="shared" si="13"/>
        <v>1.1104794099569759</v>
      </c>
      <c r="AL5" s="23">
        <f t="shared" si="14"/>
        <v>2.7761985248924397</v>
      </c>
      <c r="AM5" s="23">
        <f t="shared" si="15"/>
        <v>0</v>
      </c>
      <c r="AN5" s="23">
        <f t="shared" si="16"/>
        <v>2.7761985248924397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0.55523970497848796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28</v>
      </c>
      <c r="C6" s="1" t="s">
        <v>22</v>
      </c>
      <c r="D6" s="1" t="s">
        <v>29</v>
      </c>
      <c r="E6" s="51" t="s">
        <v>107</v>
      </c>
      <c r="F6" s="51" t="s">
        <v>114</v>
      </c>
      <c r="G6" s="51" t="s">
        <v>109</v>
      </c>
      <c r="H6" s="1" t="s">
        <v>118</v>
      </c>
      <c r="I6" s="1" t="s">
        <v>116</v>
      </c>
      <c r="J6" s="51" t="s">
        <v>112</v>
      </c>
      <c r="K6" s="51" t="s">
        <v>112</v>
      </c>
      <c r="L6" s="51" t="s">
        <v>112</v>
      </c>
      <c r="M6" s="1">
        <v>395337</v>
      </c>
      <c r="N6" s="56" t="s">
        <v>119</v>
      </c>
      <c r="O6" s="55">
        <f>DATE(2010,7,3)</f>
        <v>40362</v>
      </c>
      <c r="P6" s="55">
        <f>DATE(2014,7,3)</f>
        <v>41823</v>
      </c>
      <c r="Q6" s="51">
        <v>3540</v>
      </c>
      <c r="S6" s="51">
        <v>2.5</v>
      </c>
      <c r="U6" s="1">
        <f t="shared" si="0"/>
        <v>1462</v>
      </c>
      <c r="V6" s="31">
        <f t="shared" si="1"/>
        <v>2.4213406292749657</v>
      </c>
      <c r="W6" s="31">
        <f t="shared" si="2"/>
        <v>883.78932968536253</v>
      </c>
      <c r="X6" s="31">
        <f t="shared" si="3"/>
        <v>1.1047366621067032</v>
      </c>
      <c r="AA6" s="32">
        <f t="shared" si="4"/>
        <v>42552</v>
      </c>
      <c r="AB6" s="32">
        <f t="shared" si="5"/>
        <v>42735</v>
      </c>
      <c r="AC6" s="50">
        <v>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0.55236833105335159</v>
      </c>
      <c r="AK6" s="23">
        <f t="shared" si="13"/>
        <v>0.2761841655266758</v>
      </c>
      <c r="AL6" s="23">
        <f t="shared" si="14"/>
        <v>0.69046041381668943</v>
      </c>
      <c r="AM6" s="23">
        <f t="shared" si="15"/>
        <v>0</v>
      </c>
      <c r="AN6" s="23">
        <f t="shared" si="16"/>
        <v>0.69046041381668943</v>
      </c>
      <c r="AQ6" s="32">
        <f t="shared" si="17"/>
        <v>42736</v>
      </c>
      <c r="AR6" s="32">
        <f t="shared" si="18"/>
        <v>42916</v>
      </c>
      <c r="AS6" s="56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0.55236833105335159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28</v>
      </c>
      <c r="C7" s="1" t="s">
        <v>22</v>
      </c>
      <c r="D7" s="1" t="s">
        <v>29</v>
      </c>
      <c r="E7" s="51" t="s">
        <v>107</v>
      </c>
      <c r="F7" s="51" t="s">
        <v>114</v>
      </c>
      <c r="G7" s="51" t="s">
        <v>109</v>
      </c>
      <c r="H7" s="1" t="s">
        <v>120</v>
      </c>
      <c r="I7" s="1" t="s">
        <v>111</v>
      </c>
      <c r="J7" s="51" t="s">
        <v>112</v>
      </c>
      <c r="K7" s="51" t="s">
        <v>112</v>
      </c>
      <c r="L7" s="51" t="s">
        <v>112</v>
      </c>
      <c r="M7" s="1">
        <v>395343</v>
      </c>
      <c r="N7" s="56" t="s">
        <v>121</v>
      </c>
      <c r="O7" s="55">
        <f>DATE(2010,7,3)</f>
        <v>40362</v>
      </c>
      <c r="P7" s="55">
        <f>DATE(2014,7,3)</f>
        <v>41823</v>
      </c>
      <c r="Q7" s="51">
        <v>3300</v>
      </c>
      <c r="S7" s="51">
        <v>2.5</v>
      </c>
      <c r="U7" s="1">
        <f t="shared" si="0"/>
        <v>1462</v>
      </c>
      <c r="V7" s="31">
        <f t="shared" si="1"/>
        <v>2.2571819425444595</v>
      </c>
      <c r="W7" s="31">
        <f t="shared" si="2"/>
        <v>823.87140902872773</v>
      </c>
      <c r="X7" s="31">
        <f t="shared" si="3"/>
        <v>1.0298392612859097</v>
      </c>
      <c r="AA7" s="32">
        <f t="shared" si="4"/>
        <v>42552</v>
      </c>
      <c r="AB7" s="32">
        <f t="shared" si="5"/>
        <v>42735</v>
      </c>
      <c r="AC7" s="50">
        <v>2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0.51491963064295487</v>
      </c>
      <c r="AK7" s="23">
        <f t="shared" si="13"/>
        <v>0.51491963064295487</v>
      </c>
      <c r="AL7" s="23">
        <f t="shared" si="14"/>
        <v>1.2872990766073871</v>
      </c>
      <c r="AM7" s="23">
        <f t="shared" si="15"/>
        <v>0</v>
      </c>
      <c r="AN7" s="23">
        <f t="shared" si="16"/>
        <v>1.2872990766073871</v>
      </c>
      <c r="AQ7" s="32">
        <f t="shared" si="17"/>
        <v>42736</v>
      </c>
      <c r="AR7" s="32">
        <f t="shared" si="18"/>
        <v>42916</v>
      </c>
      <c r="AS7" s="56">
        <v>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0.51491963064295487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>
      <c r="A8" s="1" t="s">
        <v>20</v>
      </c>
      <c r="B8" s="1" t="s">
        <v>28</v>
      </c>
      <c r="C8" s="1" t="s">
        <v>22</v>
      </c>
      <c r="D8" s="1" t="s">
        <v>29</v>
      </c>
      <c r="E8" s="51" t="s">
        <v>107</v>
      </c>
      <c r="F8" s="51" t="s">
        <v>114</v>
      </c>
      <c r="G8" s="51" t="s">
        <v>109</v>
      </c>
      <c r="H8" s="1" t="s">
        <v>120</v>
      </c>
      <c r="I8" s="1" t="s">
        <v>111</v>
      </c>
      <c r="J8" s="51" t="s">
        <v>112</v>
      </c>
      <c r="K8" s="51" t="s">
        <v>112</v>
      </c>
      <c r="L8" s="51" t="s">
        <v>112</v>
      </c>
      <c r="M8" s="1">
        <v>395349</v>
      </c>
      <c r="N8" s="56" t="s">
        <v>122</v>
      </c>
      <c r="O8" s="55">
        <f>DATE(2010,7,3)</f>
        <v>40362</v>
      </c>
      <c r="P8" s="55">
        <f>DATE(2014,7,3)</f>
        <v>41823</v>
      </c>
      <c r="Q8" s="51">
        <v>3300</v>
      </c>
      <c r="S8" s="51">
        <v>2.5</v>
      </c>
      <c r="U8" s="1">
        <f t="shared" si="0"/>
        <v>1462</v>
      </c>
      <c r="V8" s="31">
        <f t="shared" si="1"/>
        <v>2.2571819425444595</v>
      </c>
      <c r="W8" s="31">
        <f t="shared" si="2"/>
        <v>823.87140902872773</v>
      </c>
      <c r="X8" s="31">
        <f t="shared" si="3"/>
        <v>1.0298392612859097</v>
      </c>
      <c r="AA8" s="32">
        <f t="shared" si="4"/>
        <v>42552</v>
      </c>
      <c r="AB8" s="32">
        <f t="shared" si="5"/>
        <v>42735</v>
      </c>
      <c r="AC8" s="50">
        <v>1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0.51491963064295487</v>
      </c>
      <c r="AK8" s="23">
        <f t="shared" si="13"/>
        <v>0.25745981532147744</v>
      </c>
      <c r="AL8" s="23">
        <f t="shared" si="14"/>
        <v>0.64364953830369354</v>
      </c>
      <c r="AM8" s="23">
        <f t="shared" si="15"/>
        <v>0</v>
      </c>
      <c r="AN8" s="23">
        <f t="shared" si="16"/>
        <v>0.64364953830369354</v>
      </c>
      <c r="AQ8" s="32">
        <f t="shared" si="17"/>
        <v>42736</v>
      </c>
      <c r="AR8" s="32">
        <f t="shared" si="18"/>
        <v>42916</v>
      </c>
      <c r="AS8" s="56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0.51491963064295487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28</v>
      </c>
      <c r="C9" s="1" t="s">
        <v>22</v>
      </c>
      <c r="D9" s="1" t="s">
        <v>29</v>
      </c>
      <c r="E9" s="51" t="s">
        <v>107</v>
      </c>
      <c r="F9" s="51" t="s">
        <v>108</v>
      </c>
      <c r="G9" s="51" t="s">
        <v>109</v>
      </c>
      <c r="H9" s="1" t="s">
        <v>110</v>
      </c>
      <c r="I9" s="1" t="s">
        <v>111</v>
      </c>
      <c r="J9" s="51" t="s">
        <v>112</v>
      </c>
      <c r="K9" s="51" t="s">
        <v>112</v>
      </c>
      <c r="L9" s="51" t="s">
        <v>112</v>
      </c>
      <c r="M9" s="1">
        <v>802759</v>
      </c>
      <c r="N9" s="50" t="s">
        <v>123</v>
      </c>
      <c r="O9" s="55">
        <f>DATE(2011,2,1)</f>
        <v>40575</v>
      </c>
      <c r="P9" s="55">
        <f>DATE(2014,9,1)</f>
        <v>41883</v>
      </c>
      <c r="Q9" s="51">
        <v>3027</v>
      </c>
      <c r="S9" s="51">
        <v>2</v>
      </c>
      <c r="U9" s="1">
        <f t="shared" si="0"/>
        <v>1309</v>
      </c>
      <c r="V9" s="31">
        <f t="shared" si="1"/>
        <v>2.3124522536287242</v>
      </c>
      <c r="W9" s="31">
        <f t="shared" si="2"/>
        <v>844.04507257448438</v>
      </c>
      <c r="X9" s="31">
        <f t="shared" si="3"/>
        <v>1.0550563407181055</v>
      </c>
      <c r="AA9" s="32">
        <f t="shared" si="4"/>
        <v>42552</v>
      </c>
      <c r="AB9" s="32">
        <f t="shared" si="5"/>
        <v>42735</v>
      </c>
      <c r="AC9" s="50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0.52752817035905275</v>
      </c>
      <c r="AK9" s="23">
        <f t="shared" si="13"/>
        <v>0.52752817035905275</v>
      </c>
      <c r="AL9" s="23">
        <f t="shared" si="14"/>
        <v>1.0550563407181055</v>
      </c>
      <c r="AM9" s="23">
        <f t="shared" si="15"/>
        <v>0</v>
      </c>
      <c r="AN9" s="23">
        <f t="shared" si="16"/>
        <v>1.0550563407181055</v>
      </c>
      <c r="AQ9" s="32">
        <f t="shared" si="17"/>
        <v>42736</v>
      </c>
      <c r="AR9" s="32">
        <f t="shared" si="18"/>
        <v>42916</v>
      </c>
      <c r="AS9" s="50">
        <v>2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0.52752817035905275</v>
      </c>
      <c r="BA9" s="23">
        <f t="shared" si="26"/>
        <v>0.52752817035905275</v>
      </c>
      <c r="BB9" s="23">
        <f t="shared" si="27"/>
        <v>1.0550563407181055</v>
      </c>
      <c r="BC9" s="23">
        <f t="shared" si="28"/>
        <v>0</v>
      </c>
      <c r="BD9" s="23">
        <f t="shared" si="29"/>
        <v>1.0550563407181055</v>
      </c>
    </row>
    <row r="10" spans="1:57">
      <c r="A10" s="1" t="s">
        <v>20</v>
      </c>
      <c r="B10" s="1" t="s">
        <v>28</v>
      </c>
      <c r="C10" s="1" t="s">
        <v>22</v>
      </c>
      <c r="D10" s="1" t="s">
        <v>29</v>
      </c>
      <c r="E10" s="51" t="s">
        <v>107</v>
      </c>
      <c r="F10" s="51" t="s">
        <v>108</v>
      </c>
      <c r="G10" s="51" t="s">
        <v>109</v>
      </c>
      <c r="H10" s="1" t="s">
        <v>124</v>
      </c>
      <c r="I10" s="1" t="s">
        <v>125</v>
      </c>
      <c r="J10" s="51" t="s">
        <v>112</v>
      </c>
      <c r="K10" s="51" t="s">
        <v>112</v>
      </c>
      <c r="L10" s="51" t="s">
        <v>112</v>
      </c>
      <c r="M10" s="1">
        <v>802764</v>
      </c>
      <c r="N10" s="50" t="s">
        <v>126</v>
      </c>
      <c r="O10" s="55">
        <f>DATE(2011,2,1)</f>
        <v>40575</v>
      </c>
      <c r="P10" s="55">
        <f>DATE(2014,9,1)</f>
        <v>41883</v>
      </c>
      <c r="Q10" s="51">
        <v>3306</v>
      </c>
      <c r="S10" s="51">
        <v>2.5</v>
      </c>
      <c r="U10" s="1">
        <f t="shared" si="0"/>
        <v>1309</v>
      </c>
      <c r="V10" s="31">
        <f t="shared" si="1"/>
        <v>2.5255920550038198</v>
      </c>
      <c r="W10" s="31">
        <f t="shared" si="2"/>
        <v>921.84110007639424</v>
      </c>
      <c r="X10" s="31">
        <f t="shared" si="3"/>
        <v>1.1523013750954929</v>
      </c>
      <c r="AA10" s="32">
        <f t="shared" si="4"/>
        <v>42552</v>
      </c>
      <c r="AB10" s="32">
        <f t="shared" si="5"/>
        <v>42735</v>
      </c>
      <c r="AC10" s="50">
        <v>1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0.57615068754774645</v>
      </c>
      <c r="AK10" s="23">
        <f t="shared" si="13"/>
        <v>0.28807534377387323</v>
      </c>
      <c r="AL10" s="23">
        <f t="shared" si="14"/>
        <v>0.72018835943468307</v>
      </c>
      <c r="AM10" s="23">
        <f t="shared" si="15"/>
        <v>0</v>
      </c>
      <c r="AN10" s="23">
        <f t="shared" si="16"/>
        <v>0.72018835943468307</v>
      </c>
      <c r="AQ10" s="32">
        <f t="shared" si="17"/>
        <v>42736</v>
      </c>
      <c r="AR10" s="32">
        <f t="shared" si="18"/>
        <v>42916</v>
      </c>
      <c r="AS10" s="50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0.57615068754774645</v>
      </c>
      <c r="BA10" s="23">
        <f t="shared" si="26"/>
        <v>0.28807534377387323</v>
      </c>
      <c r="BB10" s="23">
        <f t="shared" si="27"/>
        <v>0.72018835943468307</v>
      </c>
      <c r="BC10" s="23">
        <f t="shared" si="28"/>
        <v>0</v>
      </c>
      <c r="BD10" s="23">
        <f t="shared" si="29"/>
        <v>0.72018835943468307</v>
      </c>
    </row>
    <row r="11" spans="1:57">
      <c r="A11" s="1" t="s">
        <v>20</v>
      </c>
      <c r="B11" s="1" t="s">
        <v>28</v>
      </c>
      <c r="C11" s="1" t="s">
        <v>22</v>
      </c>
      <c r="D11" s="1" t="s">
        <v>29</v>
      </c>
      <c r="E11" s="51" t="s">
        <v>107</v>
      </c>
      <c r="F11" s="51" t="s">
        <v>108</v>
      </c>
      <c r="G11" s="51" t="s">
        <v>109</v>
      </c>
      <c r="H11" s="1" t="s">
        <v>127</v>
      </c>
      <c r="I11" s="1" t="s">
        <v>128</v>
      </c>
      <c r="J11" s="51" t="s">
        <v>112</v>
      </c>
      <c r="K11" s="51" t="s">
        <v>112</v>
      </c>
      <c r="L11" s="51" t="s">
        <v>112</v>
      </c>
      <c r="M11" s="1">
        <v>802820</v>
      </c>
      <c r="N11" s="50" t="s">
        <v>129</v>
      </c>
      <c r="O11" s="55">
        <f>DATE(2011,2,1)</f>
        <v>40575</v>
      </c>
      <c r="P11" s="55">
        <f>DATE(2014,9,1)</f>
        <v>41883</v>
      </c>
      <c r="Q11" s="51">
        <v>3359</v>
      </c>
      <c r="S11" s="51">
        <v>2.5</v>
      </c>
      <c r="U11" s="1">
        <f t="shared" si="0"/>
        <v>1309</v>
      </c>
      <c r="V11" s="31">
        <f t="shared" si="1"/>
        <v>2.5660809778456839</v>
      </c>
      <c r="W11" s="31">
        <f t="shared" si="2"/>
        <v>936.61955691367461</v>
      </c>
      <c r="X11" s="31">
        <f t="shared" si="3"/>
        <v>1.1707744461420933</v>
      </c>
      <c r="AA11" s="32">
        <f t="shared" si="4"/>
        <v>42552</v>
      </c>
      <c r="AB11" s="32">
        <f t="shared" si="5"/>
        <v>42735</v>
      </c>
      <c r="AC11" s="50">
        <v>2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0.58538722307104663</v>
      </c>
      <c r="AK11" s="23">
        <f t="shared" si="13"/>
        <v>0.58538722307104663</v>
      </c>
      <c r="AL11" s="23">
        <f t="shared" si="14"/>
        <v>1.4634680576776167</v>
      </c>
      <c r="AM11" s="23">
        <f t="shared" si="15"/>
        <v>0</v>
      </c>
      <c r="AN11" s="23">
        <f t="shared" si="16"/>
        <v>1.4634680576776167</v>
      </c>
      <c r="AQ11" s="32">
        <f t="shared" si="17"/>
        <v>42736</v>
      </c>
      <c r="AR11" s="32">
        <f t="shared" si="18"/>
        <v>42916</v>
      </c>
      <c r="AS11" s="50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0.58538722307104663</v>
      </c>
      <c r="BA11" s="23">
        <f t="shared" si="26"/>
        <v>0.29269361153552331</v>
      </c>
      <c r="BB11" s="23">
        <f t="shared" si="27"/>
        <v>0.73173402883880834</v>
      </c>
      <c r="BC11" s="23">
        <f t="shared" si="28"/>
        <v>0</v>
      </c>
      <c r="BD11" s="23">
        <f t="shared" si="29"/>
        <v>0.73173402883880834</v>
      </c>
    </row>
    <row r="12" spans="1:57">
      <c r="A12" s="48" t="s">
        <v>20</v>
      </c>
      <c r="B12" s="1" t="s">
        <v>28</v>
      </c>
      <c r="C12" s="1" t="s">
        <v>22</v>
      </c>
      <c r="D12" s="1" t="s">
        <v>29</v>
      </c>
      <c r="E12" s="51" t="s">
        <v>107</v>
      </c>
      <c r="F12" s="51" t="s">
        <v>114</v>
      </c>
      <c r="G12" s="51" t="s">
        <v>109</v>
      </c>
      <c r="H12" s="1" t="s">
        <v>130</v>
      </c>
      <c r="I12" s="1" t="s">
        <v>131</v>
      </c>
      <c r="J12" s="51" t="s">
        <v>112</v>
      </c>
      <c r="K12" s="51" t="s">
        <v>112</v>
      </c>
      <c r="L12" s="51" t="s">
        <v>112</v>
      </c>
      <c r="M12" s="1">
        <v>805252</v>
      </c>
      <c r="N12" s="50" t="s">
        <v>132</v>
      </c>
      <c r="O12" s="55">
        <f>DATE(2011,3,1)</f>
        <v>40603</v>
      </c>
      <c r="P12" s="55">
        <f>DATE(2014,3,1)</f>
        <v>41699</v>
      </c>
      <c r="Q12" s="51">
        <v>3360</v>
      </c>
      <c r="S12" s="51">
        <v>2.5</v>
      </c>
      <c r="U12" s="1">
        <f t="shared" si="0"/>
        <v>1097</v>
      </c>
      <c r="V12" s="31">
        <f t="shared" si="1"/>
        <v>3.0628988149498633</v>
      </c>
      <c r="W12" s="31">
        <f t="shared" si="2"/>
        <v>1117.9580674567001</v>
      </c>
      <c r="X12" s="31">
        <f t="shared" si="3"/>
        <v>1.3974475843208751</v>
      </c>
      <c r="AA12" s="32">
        <f t="shared" si="4"/>
        <v>42552</v>
      </c>
      <c r="AB12" s="32">
        <f t="shared" si="5"/>
        <v>42735</v>
      </c>
      <c r="AC12" s="50">
        <v>4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0.69872379216043756</v>
      </c>
      <c r="AK12" s="23">
        <f t="shared" si="13"/>
        <v>1.3974475843208751</v>
      </c>
      <c r="AL12" s="23">
        <f t="shared" si="14"/>
        <v>3.4936189608021877</v>
      </c>
      <c r="AM12" s="23">
        <f t="shared" si="15"/>
        <v>0</v>
      </c>
      <c r="AN12" s="23">
        <f t="shared" si="16"/>
        <v>3.4936189608021877</v>
      </c>
      <c r="AQ12" s="32">
        <f t="shared" si="17"/>
        <v>42736</v>
      </c>
      <c r="AR12" s="32">
        <f t="shared" si="18"/>
        <v>42916</v>
      </c>
      <c r="AS12" s="50">
        <v>1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0.69872379216043756</v>
      </c>
      <c r="BA12" s="23">
        <f t="shared" si="26"/>
        <v>0.34936189608021878</v>
      </c>
      <c r="BB12" s="23">
        <f t="shared" si="27"/>
        <v>0.87340474020054693</v>
      </c>
      <c r="BC12" s="23">
        <f t="shared" si="28"/>
        <v>0</v>
      </c>
      <c r="BD12" s="23">
        <f t="shared" si="29"/>
        <v>0.87340474020054693</v>
      </c>
    </row>
    <row r="13" spans="1:57">
      <c r="A13" s="1" t="s">
        <v>20</v>
      </c>
      <c r="B13" s="1" t="s">
        <v>28</v>
      </c>
      <c r="C13" s="1" t="s">
        <v>22</v>
      </c>
      <c r="D13" s="1" t="s">
        <v>29</v>
      </c>
      <c r="E13" s="51" t="s">
        <v>107</v>
      </c>
      <c r="F13" s="51" t="s">
        <v>114</v>
      </c>
      <c r="G13" s="51" t="s">
        <v>109</v>
      </c>
      <c r="H13" s="1" t="s">
        <v>120</v>
      </c>
      <c r="I13" s="1" t="s">
        <v>111</v>
      </c>
      <c r="J13" s="51" t="s">
        <v>112</v>
      </c>
      <c r="K13" s="51" t="s">
        <v>112</v>
      </c>
      <c r="L13" s="51" t="s">
        <v>112</v>
      </c>
      <c r="M13" s="1">
        <v>1149904</v>
      </c>
      <c r="N13" s="56" t="s">
        <v>133</v>
      </c>
      <c r="O13" s="55">
        <f>DATE(2011,7,4)</f>
        <v>40728</v>
      </c>
      <c r="P13" s="55">
        <f>DATE(2014,12,15)</f>
        <v>41988</v>
      </c>
      <c r="Q13" s="51">
        <v>3360</v>
      </c>
      <c r="S13" s="51">
        <v>2.5</v>
      </c>
      <c r="U13" s="1">
        <f t="shared" si="0"/>
        <v>1261</v>
      </c>
      <c r="V13" s="31">
        <f t="shared" si="1"/>
        <v>2.6645519429024582</v>
      </c>
      <c r="W13" s="31">
        <f t="shared" si="2"/>
        <v>972.56145915939726</v>
      </c>
      <c r="X13" s="31">
        <f t="shared" si="3"/>
        <v>1.2157018239492465</v>
      </c>
      <c r="AA13" s="32">
        <f t="shared" si="4"/>
        <v>42552</v>
      </c>
      <c r="AB13" s="32">
        <f t="shared" si="5"/>
        <v>42735</v>
      </c>
      <c r="AC13" s="50">
        <v>17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0.60785091197462326</v>
      </c>
      <c r="AK13" s="23">
        <f t="shared" si="13"/>
        <v>5.1667327517842976</v>
      </c>
      <c r="AL13" s="23">
        <f t="shared" si="14"/>
        <v>12.916831879460744</v>
      </c>
      <c r="AM13" s="23">
        <f t="shared" si="15"/>
        <v>0</v>
      </c>
      <c r="AN13" s="23">
        <f t="shared" si="16"/>
        <v>12.916831879460744</v>
      </c>
      <c r="AQ13" s="32">
        <f t="shared" si="17"/>
        <v>42736</v>
      </c>
      <c r="AR13" s="32">
        <f t="shared" si="18"/>
        <v>42916</v>
      </c>
      <c r="AS13" s="56">
        <v>0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0.60785091197462326</v>
      </c>
      <c r="BA13" s="23">
        <f t="shared" si="26"/>
        <v>0</v>
      </c>
      <c r="BB13" s="23">
        <f t="shared" si="27"/>
        <v>0</v>
      </c>
      <c r="BC13" s="23">
        <f t="shared" si="28"/>
        <v>0</v>
      </c>
      <c r="BD13" s="23">
        <f t="shared" si="29"/>
        <v>0</v>
      </c>
    </row>
    <row r="14" spans="1:57">
      <c r="A14" s="1" t="s">
        <v>20</v>
      </c>
      <c r="B14" s="1" t="s">
        <v>28</v>
      </c>
      <c r="C14" s="1" t="s">
        <v>22</v>
      </c>
      <c r="D14" s="1" t="s">
        <v>29</v>
      </c>
      <c r="E14" s="51" t="s">
        <v>107</v>
      </c>
      <c r="F14" s="51" t="s">
        <v>114</v>
      </c>
      <c r="G14" s="51" t="s">
        <v>109</v>
      </c>
      <c r="H14" s="1" t="s">
        <v>118</v>
      </c>
      <c r="I14" s="1" t="s">
        <v>116</v>
      </c>
      <c r="J14" s="51" t="s">
        <v>112</v>
      </c>
      <c r="K14" s="51" t="s">
        <v>112</v>
      </c>
      <c r="L14" s="51" t="s">
        <v>112</v>
      </c>
      <c r="M14" s="1">
        <v>1149918</v>
      </c>
      <c r="N14" s="50" t="s">
        <v>134</v>
      </c>
      <c r="O14" s="55">
        <f>DATE(2011,7,4)</f>
        <v>40728</v>
      </c>
      <c r="P14" s="55">
        <f>DATE(2014,12,15)</f>
        <v>41988</v>
      </c>
      <c r="Q14" s="51">
        <v>3220</v>
      </c>
      <c r="S14" s="51">
        <v>2.5</v>
      </c>
      <c r="U14" s="1">
        <f t="shared" si="0"/>
        <v>1261</v>
      </c>
      <c r="V14" s="31">
        <f t="shared" si="1"/>
        <v>2.5535289452815224</v>
      </c>
      <c r="W14" s="31">
        <f t="shared" si="2"/>
        <v>932.03806502775569</v>
      </c>
      <c r="X14" s="31">
        <f t="shared" si="3"/>
        <v>1.1650475812846945</v>
      </c>
      <c r="AA14" s="32">
        <f t="shared" si="4"/>
        <v>42552</v>
      </c>
      <c r="AB14" s="32">
        <f t="shared" si="5"/>
        <v>42735</v>
      </c>
      <c r="AC14" s="50">
        <v>1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0.58252379064234727</v>
      </c>
      <c r="AK14" s="23">
        <f t="shared" si="13"/>
        <v>0.29126189532117364</v>
      </c>
      <c r="AL14" s="23">
        <f t="shared" si="14"/>
        <v>0.72815473830293409</v>
      </c>
      <c r="AM14" s="23">
        <f t="shared" si="15"/>
        <v>0</v>
      </c>
      <c r="AN14" s="23">
        <f t="shared" si="16"/>
        <v>0.72815473830293409</v>
      </c>
      <c r="AQ14" s="32">
        <f t="shared" si="17"/>
        <v>42736</v>
      </c>
      <c r="AR14" s="32">
        <f t="shared" si="18"/>
        <v>42916</v>
      </c>
      <c r="AS14" s="50">
        <v>1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0.58252379064234727</v>
      </c>
      <c r="BA14" s="23">
        <f t="shared" si="26"/>
        <v>0.29126189532117364</v>
      </c>
      <c r="BB14" s="23">
        <f t="shared" si="27"/>
        <v>0.72815473830293409</v>
      </c>
      <c r="BC14" s="23">
        <f t="shared" si="28"/>
        <v>0</v>
      </c>
      <c r="BD14" s="23">
        <f t="shared" si="29"/>
        <v>0.72815473830293409</v>
      </c>
    </row>
    <row r="15" spans="1:57">
      <c r="A15" s="1" t="s">
        <v>20</v>
      </c>
      <c r="B15" s="1" t="s">
        <v>28</v>
      </c>
      <c r="C15" s="1" t="s">
        <v>22</v>
      </c>
      <c r="D15" s="1" t="s">
        <v>29</v>
      </c>
      <c r="E15" s="51" t="s">
        <v>107</v>
      </c>
      <c r="F15" s="51" t="s">
        <v>114</v>
      </c>
      <c r="G15" s="51" t="s">
        <v>109</v>
      </c>
      <c r="H15" s="1" t="s">
        <v>115</v>
      </c>
      <c r="I15" s="1" t="s">
        <v>116</v>
      </c>
      <c r="J15" s="51" t="s">
        <v>112</v>
      </c>
      <c r="K15" s="51" t="s">
        <v>112</v>
      </c>
      <c r="L15" s="51" t="s">
        <v>112</v>
      </c>
      <c r="M15" s="1">
        <v>1149920</v>
      </c>
      <c r="N15" s="56" t="s">
        <v>135</v>
      </c>
      <c r="O15" s="55">
        <f>DATE(2011,7,4)</f>
        <v>40728</v>
      </c>
      <c r="P15" s="55">
        <f>DATE(2014,12,15)</f>
        <v>41988</v>
      </c>
      <c r="Q15" s="51">
        <v>3520</v>
      </c>
      <c r="S15" s="51">
        <v>2.5</v>
      </c>
      <c r="U15" s="1">
        <f t="shared" si="0"/>
        <v>1261</v>
      </c>
      <c r="V15" s="31">
        <f t="shared" si="1"/>
        <v>2.7914353687549562</v>
      </c>
      <c r="W15" s="31">
        <f t="shared" si="2"/>
        <v>1018.873909595559</v>
      </c>
      <c r="X15" s="31">
        <f t="shared" si="3"/>
        <v>1.2735923869944488</v>
      </c>
      <c r="AA15" s="32">
        <f t="shared" si="4"/>
        <v>42552</v>
      </c>
      <c r="AB15" s="32">
        <f t="shared" si="5"/>
        <v>42735</v>
      </c>
      <c r="AC15" s="50">
        <v>13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0.63679619349722438</v>
      </c>
      <c r="AK15" s="23">
        <f t="shared" si="13"/>
        <v>4.1391752577319583</v>
      </c>
      <c r="AL15" s="23">
        <f t="shared" si="14"/>
        <v>10.347938144329895</v>
      </c>
      <c r="AM15" s="23">
        <f t="shared" si="15"/>
        <v>0</v>
      </c>
      <c r="AN15" s="23">
        <f t="shared" si="16"/>
        <v>10.347938144329895</v>
      </c>
      <c r="AQ15" s="32">
        <f t="shared" si="17"/>
        <v>42736</v>
      </c>
      <c r="AR15" s="32">
        <f t="shared" si="18"/>
        <v>42916</v>
      </c>
      <c r="AS15" s="56">
        <v>0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0.63679619349722438</v>
      </c>
      <c r="BA15" s="23">
        <f t="shared" si="26"/>
        <v>0</v>
      </c>
      <c r="BB15" s="23">
        <f t="shared" si="27"/>
        <v>0</v>
      </c>
      <c r="BC15" s="23">
        <f t="shared" si="28"/>
        <v>0</v>
      </c>
      <c r="BD15" s="23">
        <f t="shared" si="29"/>
        <v>0</v>
      </c>
    </row>
    <row r="16" spans="1:57">
      <c r="A16" s="1" t="s">
        <v>20</v>
      </c>
      <c r="B16" s="1" t="s">
        <v>28</v>
      </c>
      <c r="C16" s="1" t="s">
        <v>22</v>
      </c>
      <c r="D16" s="1" t="s">
        <v>29</v>
      </c>
      <c r="E16" s="51" t="s">
        <v>107</v>
      </c>
      <c r="F16" s="51" t="s">
        <v>108</v>
      </c>
      <c r="G16" s="51" t="s">
        <v>109</v>
      </c>
      <c r="H16" s="1" t="s">
        <v>136</v>
      </c>
      <c r="I16" s="1" t="s">
        <v>131</v>
      </c>
      <c r="J16" s="51" t="s">
        <v>112</v>
      </c>
      <c r="K16" s="51" t="s">
        <v>112</v>
      </c>
      <c r="L16" s="51" t="s">
        <v>112</v>
      </c>
      <c r="M16" s="1">
        <v>1260502</v>
      </c>
      <c r="N16" s="56" t="s">
        <v>137</v>
      </c>
      <c r="O16" s="55">
        <f>DATE(2012,3,19)</f>
        <v>40987</v>
      </c>
      <c r="P16" s="55">
        <f>DATE(2013,12,1)</f>
        <v>41609</v>
      </c>
      <c r="Q16" s="51">
        <v>1200</v>
      </c>
      <c r="S16" s="51">
        <v>1</v>
      </c>
      <c r="U16" s="1">
        <f t="shared" si="0"/>
        <v>623</v>
      </c>
      <c r="V16" s="31">
        <f t="shared" si="1"/>
        <v>1.926163723916533</v>
      </c>
      <c r="W16" s="31">
        <f t="shared" si="2"/>
        <v>703.04975922953452</v>
      </c>
      <c r="X16" s="31">
        <f t="shared" si="3"/>
        <v>0.8788121990369181</v>
      </c>
      <c r="AA16" s="32">
        <f t="shared" si="4"/>
        <v>42552</v>
      </c>
      <c r="AB16" s="32">
        <f t="shared" si="5"/>
        <v>42735</v>
      </c>
      <c r="AC16" s="50">
        <v>1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0.43940609951845905</v>
      </c>
      <c r="AK16" s="23">
        <f t="shared" si="13"/>
        <v>0.21970304975922952</v>
      </c>
      <c r="AL16" s="23">
        <f t="shared" si="14"/>
        <v>0.21970304975922952</v>
      </c>
      <c r="AM16" s="23">
        <f t="shared" si="15"/>
        <v>0</v>
      </c>
      <c r="AN16" s="23">
        <f t="shared" si="16"/>
        <v>0.21970304975922952</v>
      </c>
      <c r="AQ16" s="32">
        <f t="shared" si="17"/>
        <v>42736</v>
      </c>
      <c r="AR16" s="32">
        <f t="shared" si="18"/>
        <v>42916</v>
      </c>
      <c r="AS16" s="56">
        <v>0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0.43940609951845905</v>
      </c>
      <c r="BA16" s="23">
        <f t="shared" si="26"/>
        <v>0</v>
      </c>
      <c r="BB16" s="23">
        <f t="shared" si="27"/>
        <v>0</v>
      </c>
      <c r="BC16" s="23">
        <f t="shared" si="28"/>
        <v>0</v>
      </c>
      <c r="BD16" s="23">
        <f t="shared" si="29"/>
        <v>0</v>
      </c>
    </row>
    <row r="17" spans="1:56">
      <c r="A17" s="1" t="s">
        <v>20</v>
      </c>
      <c r="B17" s="1" t="s">
        <v>28</v>
      </c>
      <c r="C17" s="1" t="s">
        <v>22</v>
      </c>
      <c r="D17" s="1" t="s">
        <v>29</v>
      </c>
      <c r="E17" s="51" t="s">
        <v>107</v>
      </c>
      <c r="F17" s="51" t="s">
        <v>108</v>
      </c>
      <c r="G17" s="51" t="s">
        <v>109</v>
      </c>
      <c r="H17" s="1" t="s">
        <v>110</v>
      </c>
      <c r="I17" s="1" t="s">
        <v>111</v>
      </c>
      <c r="J17" s="51" t="s">
        <v>112</v>
      </c>
      <c r="K17" s="51" t="s">
        <v>112</v>
      </c>
      <c r="L17" s="51" t="s">
        <v>112</v>
      </c>
      <c r="M17" s="1">
        <v>1260507</v>
      </c>
      <c r="N17" s="50" t="s">
        <v>138</v>
      </c>
      <c r="O17" s="55">
        <f>DATE(2012,3,19)</f>
        <v>40987</v>
      </c>
      <c r="P17" s="55">
        <f>DATE(2015,9,1)</f>
        <v>42248</v>
      </c>
      <c r="Q17" s="51">
        <v>3780</v>
      </c>
      <c r="S17" s="51">
        <v>2</v>
      </c>
      <c r="U17" s="1">
        <f t="shared" si="0"/>
        <v>1262</v>
      </c>
      <c r="V17" s="31">
        <f t="shared" si="1"/>
        <v>2.995245641838352</v>
      </c>
      <c r="W17" s="31">
        <f t="shared" si="2"/>
        <v>1093.2646592709984</v>
      </c>
      <c r="X17" s="31">
        <f t="shared" si="3"/>
        <v>1.366580824088748</v>
      </c>
      <c r="AA17" s="32">
        <f t="shared" si="4"/>
        <v>42552</v>
      </c>
      <c r="AB17" s="32">
        <f t="shared" si="5"/>
        <v>42735</v>
      </c>
      <c r="AC17" s="50">
        <v>8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0.68329041204437402</v>
      </c>
      <c r="AK17" s="23">
        <f t="shared" si="13"/>
        <v>2.7331616481774961</v>
      </c>
      <c r="AL17" s="23">
        <f t="shared" si="14"/>
        <v>5.4663232963549921</v>
      </c>
      <c r="AM17" s="23">
        <f t="shared" si="15"/>
        <v>0</v>
      </c>
      <c r="AN17" s="23">
        <f t="shared" si="16"/>
        <v>5.4663232963549921</v>
      </c>
      <c r="AQ17" s="32">
        <f t="shared" si="17"/>
        <v>42736</v>
      </c>
      <c r="AR17" s="32">
        <f t="shared" si="18"/>
        <v>42916</v>
      </c>
      <c r="AS17" s="50">
        <v>6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0.68329041204437402</v>
      </c>
      <c r="BA17" s="23">
        <f t="shared" si="26"/>
        <v>2.0498712361331219</v>
      </c>
      <c r="BB17" s="23">
        <f t="shared" si="27"/>
        <v>4.0997424722662439</v>
      </c>
      <c r="BC17" s="23">
        <f t="shared" si="28"/>
        <v>0</v>
      </c>
      <c r="BD17" s="23">
        <f t="shared" si="29"/>
        <v>4.0997424722662439</v>
      </c>
    </row>
    <row r="18" spans="1:56">
      <c r="A18" s="1" t="s">
        <v>20</v>
      </c>
      <c r="B18" s="1" t="s">
        <v>28</v>
      </c>
      <c r="C18" s="1" t="s">
        <v>22</v>
      </c>
      <c r="D18" s="1" t="s">
        <v>29</v>
      </c>
      <c r="E18" s="51" t="s">
        <v>107</v>
      </c>
      <c r="F18" s="51" t="s">
        <v>108</v>
      </c>
      <c r="G18" s="51" t="s">
        <v>109</v>
      </c>
      <c r="H18" s="1" t="s">
        <v>127</v>
      </c>
      <c r="I18" s="1" t="s">
        <v>128</v>
      </c>
      <c r="J18" s="51" t="s">
        <v>112</v>
      </c>
      <c r="K18" s="51" t="s">
        <v>112</v>
      </c>
      <c r="L18" s="51" t="s">
        <v>112</v>
      </c>
      <c r="M18" s="1">
        <v>1260508</v>
      </c>
      <c r="N18" s="50" t="s">
        <v>139</v>
      </c>
      <c r="O18" s="55">
        <f>DATE(2012,3,19)</f>
        <v>40987</v>
      </c>
      <c r="P18" s="55">
        <f>DATE(2015,9,1)</f>
        <v>42248</v>
      </c>
      <c r="Q18" s="51">
        <v>3852</v>
      </c>
      <c r="S18" s="51">
        <v>2.5</v>
      </c>
      <c r="U18" s="1">
        <f t="shared" si="0"/>
        <v>1262</v>
      </c>
      <c r="V18" s="31">
        <f t="shared" si="1"/>
        <v>3.0522979397781298</v>
      </c>
      <c r="W18" s="31">
        <f t="shared" si="2"/>
        <v>1114.0887480190174</v>
      </c>
      <c r="X18" s="31">
        <f t="shared" si="3"/>
        <v>1.3926109350237719</v>
      </c>
      <c r="AA18" s="32">
        <f t="shared" si="4"/>
        <v>42552</v>
      </c>
      <c r="AB18" s="32">
        <f t="shared" si="5"/>
        <v>42735</v>
      </c>
      <c r="AC18" s="50">
        <v>10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0.69630546751188593</v>
      </c>
      <c r="AK18" s="23">
        <f t="shared" si="13"/>
        <v>3.4815273375594296</v>
      </c>
      <c r="AL18" s="23">
        <f t="shared" si="14"/>
        <v>8.7038183438985737</v>
      </c>
      <c r="AM18" s="23">
        <f t="shared" si="15"/>
        <v>0</v>
      </c>
      <c r="AN18" s="23">
        <f t="shared" si="16"/>
        <v>8.7038183438985737</v>
      </c>
      <c r="AQ18" s="32">
        <f t="shared" si="17"/>
        <v>42736</v>
      </c>
      <c r="AR18" s="32">
        <f t="shared" si="18"/>
        <v>42916</v>
      </c>
      <c r="AS18" s="50">
        <v>9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0.69630546751188593</v>
      </c>
      <c r="BA18" s="23">
        <f t="shared" si="26"/>
        <v>3.1333746038034866</v>
      </c>
      <c r="BB18" s="23">
        <f t="shared" si="27"/>
        <v>7.8334365095087168</v>
      </c>
      <c r="BC18" s="23">
        <f t="shared" si="28"/>
        <v>0</v>
      </c>
      <c r="BD18" s="23">
        <f t="shared" si="29"/>
        <v>7.8334365095087168</v>
      </c>
    </row>
    <row r="19" spans="1:56">
      <c r="A19" s="1" t="s">
        <v>20</v>
      </c>
      <c r="B19" s="1" t="s">
        <v>28</v>
      </c>
      <c r="C19" s="1" t="s">
        <v>22</v>
      </c>
      <c r="D19" s="1" t="s">
        <v>29</v>
      </c>
      <c r="E19" s="51" t="s">
        <v>107</v>
      </c>
      <c r="F19" s="51" t="s">
        <v>114</v>
      </c>
      <c r="G19" s="51" t="s">
        <v>109</v>
      </c>
      <c r="H19" s="1" t="s">
        <v>130</v>
      </c>
      <c r="I19" s="1" t="s">
        <v>131</v>
      </c>
      <c r="J19" s="51" t="s">
        <v>112</v>
      </c>
      <c r="K19" s="51" t="s">
        <v>112</v>
      </c>
      <c r="L19" s="51" t="s">
        <v>112</v>
      </c>
      <c r="M19" s="1">
        <v>1260511</v>
      </c>
      <c r="N19" s="50" t="s">
        <v>140</v>
      </c>
      <c r="O19" s="55">
        <f>DATE(2012,3,5)</f>
        <v>40973</v>
      </c>
      <c r="P19" s="55">
        <f>DATE(2015,3,5)</f>
        <v>42068</v>
      </c>
      <c r="Q19" s="51">
        <v>3360</v>
      </c>
      <c r="S19" s="51">
        <v>2.5</v>
      </c>
      <c r="U19" s="1">
        <f t="shared" si="0"/>
        <v>1096</v>
      </c>
      <c r="V19" s="31">
        <f t="shared" si="1"/>
        <v>3.0656934306569341</v>
      </c>
      <c r="W19" s="31">
        <f t="shared" si="2"/>
        <v>1118.9781021897809</v>
      </c>
      <c r="X19" s="31">
        <f t="shared" si="3"/>
        <v>1.398722627737226</v>
      </c>
      <c r="AA19" s="32">
        <f t="shared" si="4"/>
        <v>42552</v>
      </c>
      <c r="AB19" s="32">
        <f t="shared" si="5"/>
        <v>42735</v>
      </c>
      <c r="AC19" s="50">
        <v>23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0.699361313868613</v>
      </c>
      <c r="AK19" s="23">
        <f t="shared" si="13"/>
        <v>8.0426551094890488</v>
      </c>
      <c r="AL19" s="23">
        <f t="shared" si="14"/>
        <v>20.106637773722621</v>
      </c>
      <c r="AM19" s="23">
        <f t="shared" si="15"/>
        <v>0</v>
      </c>
      <c r="AN19" s="23">
        <f t="shared" si="16"/>
        <v>20.106637773722621</v>
      </c>
      <c r="AQ19" s="32">
        <f t="shared" si="17"/>
        <v>42736</v>
      </c>
      <c r="AR19" s="32">
        <f t="shared" si="18"/>
        <v>42916</v>
      </c>
      <c r="AS19" s="50">
        <v>6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0.699361313868613</v>
      </c>
      <c r="BA19" s="23">
        <f t="shared" si="26"/>
        <v>2.098083941605839</v>
      </c>
      <c r="BB19" s="23">
        <f t="shared" si="27"/>
        <v>5.2452098540145977</v>
      </c>
      <c r="BC19" s="23">
        <f t="shared" si="28"/>
        <v>0</v>
      </c>
      <c r="BD19" s="23">
        <f t="shared" si="29"/>
        <v>5.2452098540145977</v>
      </c>
    </row>
    <row r="20" spans="1:56">
      <c r="A20" s="1" t="s">
        <v>20</v>
      </c>
      <c r="B20" s="1" t="s">
        <v>28</v>
      </c>
      <c r="C20" s="1" t="s">
        <v>22</v>
      </c>
      <c r="D20" s="1" t="s">
        <v>29</v>
      </c>
      <c r="E20" s="51" t="s">
        <v>107</v>
      </c>
      <c r="F20" s="51" t="s">
        <v>114</v>
      </c>
      <c r="G20" s="51" t="s">
        <v>109</v>
      </c>
      <c r="H20" s="1" t="s">
        <v>118</v>
      </c>
      <c r="I20" s="1" t="s">
        <v>116</v>
      </c>
      <c r="J20" s="51" t="s">
        <v>112</v>
      </c>
      <c r="K20" s="51" t="s">
        <v>112</v>
      </c>
      <c r="L20" s="51" t="s">
        <v>112</v>
      </c>
      <c r="M20" s="1">
        <v>1600483</v>
      </c>
      <c r="N20" s="56" t="s">
        <v>141</v>
      </c>
      <c r="O20" s="55">
        <f>DATE(2012,3,26)</f>
        <v>40994</v>
      </c>
      <c r="P20" s="55">
        <f>DATE(2016,6,26)</f>
        <v>42547</v>
      </c>
      <c r="Q20" s="51">
        <v>3540</v>
      </c>
      <c r="S20" s="51">
        <v>2.5</v>
      </c>
      <c r="U20" s="1">
        <f t="shared" si="0"/>
        <v>1554</v>
      </c>
      <c r="V20" s="31">
        <f t="shared" si="1"/>
        <v>2.2779922779922779</v>
      </c>
      <c r="W20" s="31">
        <f t="shared" si="2"/>
        <v>831.46718146718138</v>
      </c>
      <c r="X20" s="31">
        <f t="shared" si="3"/>
        <v>1.0393339768339767</v>
      </c>
      <c r="AA20" s="32">
        <f t="shared" si="4"/>
        <v>42552</v>
      </c>
      <c r="AB20" s="32">
        <f t="shared" si="5"/>
        <v>42735</v>
      </c>
      <c r="AC20" s="50">
        <v>22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0.51966698841698833</v>
      </c>
      <c r="AK20" s="23">
        <f t="shared" si="13"/>
        <v>5.7163368725868713</v>
      </c>
      <c r="AL20" s="23">
        <f t="shared" si="14"/>
        <v>14.290842181467179</v>
      </c>
      <c r="AM20" s="23">
        <f t="shared" si="15"/>
        <v>0</v>
      </c>
      <c r="AN20" s="23">
        <f t="shared" si="16"/>
        <v>14.290842181467179</v>
      </c>
      <c r="AQ20" s="32">
        <f t="shared" si="17"/>
        <v>42736</v>
      </c>
      <c r="AR20" s="32">
        <f t="shared" si="18"/>
        <v>42916</v>
      </c>
      <c r="AS20" s="56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0.51966698841698833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28</v>
      </c>
      <c r="C21" s="1" t="s">
        <v>22</v>
      </c>
      <c r="D21" s="1" t="s">
        <v>29</v>
      </c>
      <c r="E21" s="51" t="s">
        <v>107</v>
      </c>
      <c r="F21" s="51" t="s">
        <v>114</v>
      </c>
      <c r="G21" s="51" t="s">
        <v>109</v>
      </c>
      <c r="H21" s="1" t="s">
        <v>130</v>
      </c>
      <c r="I21" s="1" t="s">
        <v>131</v>
      </c>
      <c r="J21" s="51" t="s">
        <v>112</v>
      </c>
      <c r="K21" s="51" t="s">
        <v>112</v>
      </c>
      <c r="L21" s="51" t="s">
        <v>112</v>
      </c>
      <c r="M21" s="1">
        <v>1723644</v>
      </c>
      <c r="N21" s="50" t="s">
        <v>142</v>
      </c>
      <c r="O21" s="55">
        <f t="shared" ref="O21:O26" si="30">DATE(2013,4,15)</f>
        <v>41379</v>
      </c>
      <c r="P21" s="55">
        <f>DATE(2016,12,31)</f>
        <v>42735</v>
      </c>
      <c r="Q21" s="51">
        <v>3420</v>
      </c>
      <c r="S21" s="51">
        <v>2.5</v>
      </c>
      <c r="U21" s="1">
        <f t="shared" si="0"/>
        <v>1357</v>
      </c>
      <c r="V21" s="31">
        <f t="shared" si="1"/>
        <v>2.5202652910832719</v>
      </c>
      <c r="W21" s="31">
        <f t="shared" si="2"/>
        <v>919.8968312453942</v>
      </c>
      <c r="X21" s="31">
        <f t="shared" si="3"/>
        <v>1.1498710390567428</v>
      </c>
      <c r="AA21" s="32">
        <f t="shared" si="4"/>
        <v>42552</v>
      </c>
      <c r="AB21" s="32">
        <f t="shared" si="5"/>
        <v>42735</v>
      </c>
      <c r="AC21" s="50">
        <v>24</v>
      </c>
      <c r="AD21" s="1">
        <f t="shared" si="6"/>
        <v>0</v>
      </c>
      <c r="AE21" s="1">
        <f t="shared" si="7"/>
        <v>0</v>
      </c>
      <c r="AF21" s="1">
        <f t="shared" si="8"/>
        <v>184</v>
      </c>
      <c r="AG21" s="1">
        <f t="shared" si="9"/>
        <v>0</v>
      </c>
      <c r="AH21" s="1">
        <f t="shared" si="10"/>
        <v>0</v>
      </c>
      <c r="AI21" s="23">
        <f t="shared" si="11"/>
        <v>1</v>
      </c>
      <c r="AJ21" s="23">
        <f t="shared" si="12"/>
        <v>1.1498710390567428</v>
      </c>
      <c r="AK21" s="23">
        <f t="shared" si="13"/>
        <v>27.596904937361828</v>
      </c>
      <c r="AL21" s="23">
        <f t="shared" si="14"/>
        <v>68.992262343404576</v>
      </c>
      <c r="AM21" s="23">
        <f t="shared" si="15"/>
        <v>0</v>
      </c>
      <c r="AN21" s="23">
        <f t="shared" si="16"/>
        <v>68.992262343404576</v>
      </c>
      <c r="AQ21" s="32">
        <f t="shared" si="17"/>
        <v>42736</v>
      </c>
      <c r="AR21" s="32">
        <f t="shared" si="18"/>
        <v>42916</v>
      </c>
      <c r="AS21" s="50">
        <v>24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0.57493551952837141</v>
      </c>
      <c r="BA21" s="23">
        <f t="shared" si="26"/>
        <v>6.8992262343404569</v>
      </c>
      <c r="BB21" s="23">
        <f t="shared" si="27"/>
        <v>17.248065585851144</v>
      </c>
      <c r="BC21" s="23">
        <f t="shared" si="28"/>
        <v>0</v>
      </c>
      <c r="BD21" s="23">
        <f t="shared" si="29"/>
        <v>17.248065585851144</v>
      </c>
    </row>
    <row r="22" spans="1:56">
      <c r="A22" s="1" t="s">
        <v>20</v>
      </c>
      <c r="B22" s="1" t="s">
        <v>28</v>
      </c>
      <c r="C22" s="1" t="s">
        <v>22</v>
      </c>
      <c r="D22" s="1" t="s">
        <v>29</v>
      </c>
      <c r="E22" s="51" t="s">
        <v>107</v>
      </c>
      <c r="F22" s="51" t="s">
        <v>108</v>
      </c>
      <c r="G22" s="51" t="s">
        <v>109</v>
      </c>
      <c r="H22" s="1" t="s">
        <v>110</v>
      </c>
      <c r="I22" s="1" t="s">
        <v>111</v>
      </c>
      <c r="J22" s="51" t="s">
        <v>112</v>
      </c>
      <c r="K22" s="51" t="s">
        <v>112</v>
      </c>
      <c r="L22" s="51" t="s">
        <v>112</v>
      </c>
      <c r="M22" s="1">
        <v>1841088</v>
      </c>
      <c r="N22" s="50" t="s">
        <v>143</v>
      </c>
      <c r="O22" s="55">
        <f t="shared" si="30"/>
        <v>41379</v>
      </c>
      <c r="P22" s="55">
        <f>DATE(2016,12,31)</f>
        <v>42735</v>
      </c>
      <c r="Q22" s="51">
        <v>4000</v>
      </c>
      <c r="S22" s="51">
        <v>2</v>
      </c>
      <c r="U22" s="1">
        <f t="shared" si="0"/>
        <v>1357</v>
      </c>
      <c r="V22" s="31">
        <f t="shared" si="1"/>
        <v>2.9476787030213707</v>
      </c>
      <c r="W22" s="31">
        <f t="shared" si="2"/>
        <v>1075.9027266028004</v>
      </c>
      <c r="X22" s="31">
        <f t="shared" si="3"/>
        <v>1.3448784082535006</v>
      </c>
      <c r="AA22" s="32">
        <f t="shared" si="4"/>
        <v>42552</v>
      </c>
      <c r="AB22" s="32">
        <f t="shared" si="5"/>
        <v>42735</v>
      </c>
      <c r="AC22" s="50">
        <v>22</v>
      </c>
      <c r="AD22" s="1">
        <f t="shared" si="6"/>
        <v>0</v>
      </c>
      <c r="AE22" s="1">
        <f t="shared" si="7"/>
        <v>0</v>
      </c>
      <c r="AF22" s="1">
        <f t="shared" si="8"/>
        <v>184</v>
      </c>
      <c r="AG22" s="1">
        <f t="shared" si="9"/>
        <v>0</v>
      </c>
      <c r="AH22" s="1">
        <f t="shared" si="10"/>
        <v>0</v>
      </c>
      <c r="AI22" s="23">
        <f t="shared" si="11"/>
        <v>1</v>
      </c>
      <c r="AJ22" s="23">
        <f t="shared" si="12"/>
        <v>1.3448784082535006</v>
      </c>
      <c r="AK22" s="23">
        <f t="shared" si="13"/>
        <v>29.587324981577012</v>
      </c>
      <c r="AL22" s="23">
        <f t="shared" si="14"/>
        <v>59.174649963154025</v>
      </c>
      <c r="AM22" s="23">
        <f t="shared" si="15"/>
        <v>0</v>
      </c>
      <c r="AN22" s="23">
        <f t="shared" si="16"/>
        <v>59.174649963154025</v>
      </c>
      <c r="AQ22" s="32">
        <f t="shared" si="17"/>
        <v>42736</v>
      </c>
      <c r="AR22" s="32">
        <f t="shared" si="18"/>
        <v>42916</v>
      </c>
      <c r="AS22" s="50">
        <v>22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0.67243920412675029</v>
      </c>
      <c r="BA22" s="23">
        <f t="shared" si="26"/>
        <v>7.3968312453942531</v>
      </c>
      <c r="BB22" s="23">
        <f t="shared" si="27"/>
        <v>14.793662490788506</v>
      </c>
      <c r="BC22" s="23">
        <f t="shared" si="28"/>
        <v>0</v>
      </c>
      <c r="BD22" s="23">
        <f t="shared" si="29"/>
        <v>14.793662490788506</v>
      </c>
    </row>
    <row r="23" spans="1:56">
      <c r="A23" s="1" t="s">
        <v>20</v>
      </c>
      <c r="B23" s="1" t="s">
        <v>28</v>
      </c>
      <c r="C23" s="1" t="s">
        <v>22</v>
      </c>
      <c r="D23" s="1" t="s">
        <v>29</v>
      </c>
      <c r="E23" s="51" t="s">
        <v>107</v>
      </c>
      <c r="F23" s="51" t="s">
        <v>108</v>
      </c>
      <c r="G23" s="51" t="s">
        <v>109</v>
      </c>
      <c r="H23" s="1" t="s">
        <v>124</v>
      </c>
      <c r="I23" s="1" t="s">
        <v>125</v>
      </c>
      <c r="J23" s="51" t="s">
        <v>112</v>
      </c>
      <c r="K23" s="51" t="s">
        <v>112</v>
      </c>
      <c r="L23" s="51" t="s">
        <v>112</v>
      </c>
      <c r="M23" s="1">
        <v>1841089</v>
      </c>
      <c r="N23" s="50" t="s">
        <v>144</v>
      </c>
      <c r="O23" s="55">
        <f t="shared" si="30"/>
        <v>41379</v>
      </c>
      <c r="P23" s="55">
        <f>DATE(2016,12,31)</f>
        <v>42735</v>
      </c>
      <c r="Q23" s="51">
        <v>3986</v>
      </c>
      <c r="S23" s="51">
        <v>2.5</v>
      </c>
      <c r="U23" s="1">
        <f t="shared" si="0"/>
        <v>1357</v>
      </c>
      <c r="V23" s="31">
        <f t="shared" si="1"/>
        <v>2.937361827560796</v>
      </c>
      <c r="W23" s="31">
        <f t="shared" si="2"/>
        <v>1072.1370670596905</v>
      </c>
      <c r="X23" s="31">
        <f t="shared" si="3"/>
        <v>1.3401713338246131</v>
      </c>
      <c r="AA23" s="32">
        <f t="shared" si="4"/>
        <v>42552</v>
      </c>
      <c r="AB23" s="32">
        <f t="shared" si="5"/>
        <v>42735</v>
      </c>
      <c r="AC23" s="50">
        <v>21</v>
      </c>
      <c r="AD23" s="1">
        <f t="shared" si="6"/>
        <v>0</v>
      </c>
      <c r="AE23" s="1">
        <f t="shared" si="7"/>
        <v>0</v>
      </c>
      <c r="AF23" s="1">
        <f t="shared" si="8"/>
        <v>184</v>
      </c>
      <c r="AG23" s="1">
        <f t="shared" si="9"/>
        <v>0</v>
      </c>
      <c r="AH23" s="1">
        <f t="shared" si="10"/>
        <v>0</v>
      </c>
      <c r="AI23" s="23">
        <f t="shared" si="11"/>
        <v>1</v>
      </c>
      <c r="AJ23" s="23">
        <f t="shared" si="12"/>
        <v>1.3401713338246131</v>
      </c>
      <c r="AK23" s="23">
        <f t="shared" si="13"/>
        <v>28.143598010316875</v>
      </c>
      <c r="AL23" s="23">
        <f t="shared" si="14"/>
        <v>70.358995025792183</v>
      </c>
      <c r="AM23" s="23">
        <f t="shared" si="15"/>
        <v>0</v>
      </c>
      <c r="AN23" s="23">
        <f t="shared" si="16"/>
        <v>70.358995025792183</v>
      </c>
      <c r="AQ23" s="32">
        <f t="shared" si="17"/>
        <v>42736</v>
      </c>
      <c r="AR23" s="32">
        <f t="shared" si="18"/>
        <v>42916</v>
      </c>
      <c r="AS23" s="50">
        <v>21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0.67008566691230653</v>
      </c>
      <c r="BA23" s="23">
        <f t="shared" si="26"/>
        <v>7.0358995025792188</v>
      </c>
      <c r="BB23" s="23">
        <f t="shared" si="27"/>
        <v>17.589748756448046</v>
      </c>
      <c r="BC23" s="23">
        <f t="shared" si="28"/>
        <v>0</v>
      </c>
      <c r="BD23" s="23">
        <f t="shared" si="29"/>
        <v>17.589748756448046</v>
      </c>
    </row>
    <row r="24" spans="1:56">
      <c r="A24" s="1" t="s">
        <v>20</v>
      </c>
      <c r="B24" s="1" t="s">
        <v>28</v>
      </c>
      <c r="C24" s="1" t="s">
        <v>22</v>
      </c>
      <c r="D24" s="1" t="s">
        <v>29</v>
      </c>
      <c r="E24" s="51" t="s">
        <v>107</v>
      </c>
      <c r="F24" s="51" t="s">
        <v>108</v>
      </c>
      <c r="G24" s="51" t="s">
        <v>109</v>
      </c>
      <c r="H24" s="49" t="s">
        <v>127</v>
      </c>
      <c r="I24" s="1" t="s">
        <v>128</v>
      </c>
      <c r="J24" s="51" t="s">
        <v>112</v>
      </c>
      <c r="K24" s="51" t="s">
        <v>112</v>
      </c>
      <c r="L24" s="51" t="s">
        <v>112</v>
      </c>
      <c r="M24" s="1">
        <v>1841090</v>
      </c>
      <c r="N24" s="50" t="s">
        <v>145</v>
      </c>
      <c r="O24" s="55">
        <f t="shared" si="30"/>
        <v>41379</v>
      </c>
      <c r="P24" s="55">
        <f>DATE(2016,12,31)</f>
        <v>42735</v>
      </c>
      <c r="Q24" s="51">
        <v>4112</v>
      </c>
      <c r="S24" s="51">
        <v>2.5</v>
      </c>
      <c r="U24" s="1">
        <f t="shared" si="0"/>
        <v>1357</v>
      </c>
      <c r="V24" s="31">
        <f t="shared" si="1"/>
        <v>3.0302137067059691</v>
      </c>
      <c r="W24" s="31">
        <f t="shared" si="2"/>
        <v>1106.0280029476787</v>
      </c>
      <c r="X24" s="31">
        <f t="shared" si="3"/>
        <v>1.3825350036845985</v>
      </c>
      <c r="AA24" s="32">
        <f t="shared" si="4"/>
        <v>42552</v>
      </c>
      <c r="AB24" s="32">
        <f t="shared" si="5"/>
        <v>42735</v>
      </c>
      <c r="AC24" s="50">
        <v>24</v>
      </c>
      <c r="AD24" s="1">
        <f t="shared" si="6"/>
        <v>0</v>
      </c>
      <c r="AE24" s="1">
        <f t="shared" si="7"/>
        <v>0</v>
      </c>
      <c r="AF24" s="1">
        <f t="shared" si="8"/>
        <v>184</v>
      </c>
      <c r="AG24" s="1">
        <f t="shared" si="9"/>
        <v>0</v>
      </c>
      <c r="AH24" s="1">
        <f t="shared" si="10"/>
        <v>0</v>
      </c>
      <c r="AI24" s="23">
        <f t="shared" si="11"/>
        <v>1</v>
      </c>
      <c r="AJ24" s="23">
        <f t="shared" si="12"/>
        <v>1.3825350036845985</v>
      </c>
      <c r="AK24" s="23">
        <f t="shared" si="13"/>
        <v>33.180840088430365</v>
      </c>
      <c r="AL24" s="23">
        <f t="shared" si="14"/>
        <v>82.952100221075909</v>
      </c>
      <c r="AM24" s="23">
        <f t="shared" si="15"/>
        <v>0</v>
      </c>
      <c r="AN24" s="23">
        <f t="shared" si="16"/>
        <v>82.952100221075909</v>
      </c>
      <c r="AQ24" s="32">
        <f t="shared" si="17"/>
        <v>42736</v>
      </c>
      <c r="AR24" s="32">
        <f t="shared" si="18"/>
        <v>42916</v>
      </c>
      <c r="AS24" s="50">
        <v>24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0.69126750184229924</v>
      </c>
      <c r="BA24" s="23">
        <f t="shared" si="26"/>
        <v>8.2952100221075913</v>
      </c>
      <c r="BB24" s="23">
        <f t="shared" si="27"/>
        <v>20.738025055268977</v>
      </c>
      <c r="BC24" s="23">
        <f t="shared" si="28"/>
        <v>0</v>
      </c>
      <c r="BD24" s="23">
        <f t="shared" si="29"/>
        <v>20.738025055268977</v>
      </c>
    </row>
    <row r="25" spans="1:56">
      <c r="A25" s="1" t="s">
        <v>20</v>
      </c>
      <c r="B25" s="1" t="s">
        <v>28</v>
      </c>
      <c r="C25" s="1" t="s">
        <v>22</v>
      </c>
      <c r="D25" s="1" t="s">
        <v>29</v>
      </c>
      <c r="E25" s="51" t="s">
        <v>107</v>
      </c>
      <c r="F25" s="51" t="s">
        <v>108</v>
      </c>
      <c r="G25" s="51" t="s">
        <v>109</v>
      </c>
      <c r="H25" s="1" t="s">
        <v>146</v>
      </c>
      <c r="I25" s="1" t="s">
        <v>147</v>
      </c>
      <c r="J25" s="51" t="s">
        <v>148</v>
      </c>
      <c r="K25" s="51" t="s">
        <v>112</v>
      </c>
      <c r="L25" s="51" t="s">
        <v>112</v>
      </c>
      <c r="M25" s="1">
        <v>1841091</v>
      </c>
      <c r="N25" s="50" t="s">
        <v>149</v>
      </c>
      <c r="O25" s="55">
        <f t="shared" si="30"/>
        <v>41379</v>
      </c>
      <c r="P25" s="55">
        <f>DATE(2014,12,30)</f>
        <v>42003</v>
      </c>
      <c r="Q25" s="51">
        <v>1520</v>
      </c>
      <c r="S25" s="51">
        <v>2.5</v>
      </c>
      <c r="U25" s="1">
        <f t="shared" si="0"/>
        <v>625</v>
      </c>
      <c r="V25" s="31">
        <f t="shared" si="1"/>
        <v>2.4319999999999999</v>
      </c>
      <c r="W25" s="31">
        <f t="shared" si="2"/>
        <v>887.68</v>
      </c>
      <c r="X25" s="31">
        <f t="shared" si="3"/>
        <v>1.1095999999999999</v>
      </c>
      <c r="AA25" s="32">
        <f t="shared" si="4"/>
        <v>42552</v>
      </c>
      <c r="AB25" s="32">
        <f t="shared" si="5"/>
        <v>42735</v>
      </c>
      <c r="AC25" s="50">
        <v>3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0.55479999999999996</v>
      </c>
      <c r="AK25" s="23">
        <f t="shared" si="13"/>
        <v>0.83219999999999994</v>
      </c>
      <c r="AL25" s="23">
        <f t="shared" si="14"/>
        <v>2.0804999999999998</v>
      </c>
      <c r="AM25" s="23">
        <f t="shared" si="15"/>
        <v>1.0402499999999999</v>
      </c>
      <c r="AN25" s="23">
        <f t="shared" si="16"/>
        <v>3.1207499999999997</v>
      </c>
      <c r="AQ25" s="32">
        <f t="shared" si="17"/>
        <v>42736</v>
      </c>
      <c r="AR25" s="32">
        <f t="shared" si="18"/>
        <v>42916</v>
      </c>
      <c r="AS25" s="50">
        <v>3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0.55479999999999996</v>
      </c>
      <c r="BA25" s="23">
        <f t="shared" si="26"/>
        <v>0.83219999999999994</v>
      </c>
      <c r="BB25" s="23">
        <f t="shared" si="27"/>
        <v>2.0804999999999998</v>
      </c>
      <c r="BC25" s="23">
        <f t="shared" si="28"/>
        <v>1.0402499999999999</v>
      </c>
      <c r="BD25" s="23">
        <f t="shared" si="29"/>
        <v>3.1207499999999997</v>
      </c>
    </row>
    <row r="26" spans="1:56">
      <c r="A26" s="1" t="s">
        <v>20</v>
      </c>
      <c r="B26" s="1" t="s">
        <v>28</v>
      </c>
      <c r="C26" s="1" t="s">
        <v>22</v>
      </c>
      <c r="D26" s="1" t="s">
        <v>29</v>
      </c>
      <c r="E26" s="51" t="s">
        <v>107</v>
      </c>
      <c r="F26" s="51" t="s">
        <v>108</v>
      </c>
      <c r="G26" s="51" t="s">
        <v>109</v>
      </c>
      <c r="H26" s="1" t="s">
        <v>136</v>
      </c>
      <c r="I26" s="1" t="s">
        <v>131</v>
      </c>
      <c r="J26" s="51" t="s">
        <v>112</v>
      </c>
      <c r="K26" s="51" t="s">
        <v>112</v>
      </c>
      <c r="L26" s="51" t="s">
        <v>112</v>
      </c>
      <c r="M26" s="1">
        <v>1841097</v>
      </c>
      <c r="N26" s="50" t="s">
        <v>150</v>
      </c>
      <c r="O26" s="55">
        <f t="shared" si="30"/>
        <v>41379</v>
      </c>
      <c r="P26" s="55">
        <f>DATE(2014,12,31)</f>
        <v>42004</v>
      </c>
      <c r="Q26" s="51">
        <v>1220</v>
      </c>
      <c r="S26" s="51">
        <v>1</v>
      </c>
      <c r="U26" s="1">
        <f t="shared" si="0"/>
        <v>626</v>
      </c>
      <c r="V26" s="31">
        <f t="shared" si="1"/>
        <v>1.9488817891373802</v>
      </c>
      <c r="W26" s="31">
        <f t="shared" si="2"/>
        <v>711.3418530351438</v>
      </c>
      <c r="X26" s="31">
        <f t="shared" si="3"/>
        <v>0.88917731629392971</v>
      </c>
      <c r="AA26" s="32">
        <f t="shared" si="4"/>
        <v>42552</v>
      </c>
      <c r="AB26" s="32">
        <f t="shared" si="5"/>
        <v>42735</v>
      </c>
      <c r="AC26" s="50">
        <v>9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0.44458865814696485</v>
      </c>
      <c r="AK26" s="23">
        <f t="shared" si="13"/>
        <v>2.0006489616613417</v>
      </c>
      <c r="AL26" s="23">
        <f t="shared" si="14"/>
        <v>2.0006489616613417</v>
      </c>
      <c r="AM26" s="23">
        <f t="shared" si="15"/>
        <v>0</v>
      </c>
      <c r="AN26" s="23">
        <f t="shared" si="16"/>
        <v>2.0006489616613417</v>
      </c>
      <c r="AQ26" s="32">
        <f t="shared" si="17"/>
        <v>42736</v>
      </c>
      <c r="AR26" s="32">
        <f t="shared" si="18"/>
        <v>42916</v>
      </c>
      <c r="AS26" s="50">
        <v>7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0.44458865814696485</v>
      </c>
      <c r="BA26" s="23">
        <f t="shared" si="26"/>
        <v>1.556060303514377</v>
      </c>
      <c r="BB26" s="23">
        <f t="shared" si="27"/>
        <v>1.556060303514377</v>
      </c>
      <c r="BC26" s="23">
        <f t="shared" si="28"/>
        <v>0</v>
      </c>
      <c r="BD26" s="23">
        <f t="shared" si="29"/>
        <v>1.556060303514377</v>
      </c>
    </row>
    <row r="27" spans="1:56">
      <c r="A27" s="1" t="s">
        <v>20</v>
      </c>
      <c r="B27" s="1" t="s">
        <v>28</v>
      </c>
      <c r="C27" s="1" t="s">
        <v>22</v>
      </c>
      <c r="D27" s="1" t="s">
        <v>29</v>
      </c>
      <c r="E27" s="51" t="s">
        <v>107</v>
      </c>
      <c r="F27" s="51" t="s">
        <v>114</v>
      </c>
      <c r="G27" s="51" t="s">
        <v>109</v>
      </c>
      <c r="H27" s="1" t="s">
        <v>130</v>
      </c>
      <c r="I27" s="1" t="s">
        <v>131</v>
      </c>
      <c r="J27" s="51" t="s">
        <v>112</v>
      </c>
      <c r="K27" s="51" t="s">
        <v>112</v>
      </c>
      <c r="L27" s="51" t="s">
        <v>112</v>
      </c>
      <c r="M27" s="1">
        <v>1939418</v>
      </c>
      <c r="N27" s="51" t="s">
        <v>151</v>
      </c>
      <c r="O27" s="55">
        <f>DATE(2014,2,16)</f>
        <v>41686</v>
      </c>
      <c r="P27" s="55">
        <f>DATE(2017,12,31)</f>
        <v>43100</v>
      </c>
      <c r="Q27" s="51">
        <v>3420</v>
      </c>
      <c r="S27" s="51">
        <v>2.5</v>
      </c>
      <c r="U27" s="1">
        <f t="shared" si="0"/>
        <v>1415</v>
      </c>
      <c r="V27" s="31">
        <f t="shared" si="1"/>
        <v>2.4169611307420493</v>
      </c>
      <c r="W27" s="31">
        <f t="shared" si="2"/>
        <v>882.19081272084804</v>
      </c>
      <c r="X27" s="31">
        <f t="shared" si="3"/>
        <v>1.1027385159010601</v>
      </c>
      <c r="AA27" s="32">
        <f t="shared" si="4"/>
        <v>42552</v>
      </c>
      <c r="AB27" s="32">
        <f t="shared" si="5"/>
        <v>42735</v>
      </c>
      <c r="AC27" s="51">
        <v>33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1.1027385159010601</v>
      </c>
      <c r="AK27" s="23">
        <f t="shared" si="13"/>
        <v>36.390371024734982</v>
      </c>
      <c r="AL27" s="23">
        <f t="shared" si="14"/>
        <v>90.975927561837452</v>
      </c>
      <c r="AM27" s="23">
        <f t="shared" si="15"/>
        <v>0</v>
      </c>
      <c r="AN27" s="23">
        <f t="shared" si="16"/>
        <v>90.975927561837452</v>
      </c>
      <c r="AQ27" s="32">
        <f t="shared" si="17"/>
        <v>42736</v>
      </c>
      <c r="AR27" s="32">
        <f t="shared" si="18"/>
        <v>42916</v>
      </c>
      <c r="AS27" s="51">
        <v>33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1.1027385159010601</v>
      </c>
      <c r="BA27" s="23">
        <f t="shared" si="26"/>
        <v>36.390371024734982</v>
      </c>
      <c r="BB27" s="23">
        <f t="shared" si="27"/>
        <v>90.975927561837452</v>
      </c>
      <c r="BC27" s="23">
        <f t="shared" si="28"/>
        <v>0</v>
      </c>
      <c r="BD27" s="23">
        <f t="shared" si="29"/>
        <v>90.975927561837452</v>
      </c>
    </row>
    <row r="28" spans="1:56">
      <c r="A28" s="1" t="s">
        <v>20</v>
      </c>
      <c r="B28" s="1" t="s">
        <v>28</v>
      </c>
      <c r="C28" s="1" t="s">
        <v>22</v>
      </c>
      <c r="D28" s="1" t="s">
        <v>29</v>
      </c>
      <c r="E28" s="51" t="s">
        <v>107</v>
      </c>
      <c r="F28" s="51" t="s">
        <v>114</v>
      </c>
      <c r="G28" s="51" t="s">
        <v>109</v>
      </c>
      <c r="H28" s="1" t="s">
        <v>152</v>
      </c>
      <c r="I28" s="1" t="s">
        <v>147</v>
      </c>
      <c r="J28" s="51" t="s">
        <v>112</v>
      </c>
      <c r="K28" s="51" t="s">
        <v>112</v>
      </c>
      <c r="L28" s="51" t="s">
        <v>112</v>
      </c>
      <c r="M28" s="1">
        <v>1945868</v>
      </c>
      <c r="N28" s="56" t="s">
        <v>153</v>
      </c>
      <c r="O28" s="55">
        <f>DATE(2012,5,7)</f>
        <v>41036</v>
      </c>
      <c r="P28" s="55">
        <f>DATE(2016,12,31)</f>
        <v>42735</v>
      </c>
      <c r="Q28" s="51">
        <v>3280</v>
      </c>
      <c r="S28" s="51">
        <v>2.5</v>
      </c>
      <c r="U28" s="1">
        <f t="shared" si="0"/>
        <v>1700</v>
      </c>
      <c r="V28" s="31">
        <f t="shared" si="1"/>
        <v>1.9294117647058824</v>
      </c>
      <c r="W28" s="31">
        <f t="shared" si="2"/>
        <v>704.23529411764707</v>
      </c>
      <c r="X28" s="31">
        <f t="shared" si="3"/>
        <v>0.88029411764705889</v>
      </c>
      <c r="AA28" s="32">
        <f t="shared" si="4"/>
        <v>42552</v>
      </c>
      <c r="AB28" s="32">
        <f t="shared" si="5"/>
        <v>42735</v>
      </c>
      <c r="AC28" s="50">
        <v>8</v>
      </c>
      <c r="AD28" s="1">
        <f t="shared" si="6"/>
        <v>0</v>
      </c>
      <c r="AE28" s="1">
        <f t="shared" si="7"/>
        <v>0</v>
      </c>
      <c r="AF28" s="1">
        <f t="shared" si="8"/>
        <v>184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0.88029411764705889</v>
      </c>
      <c r="AK28" s="23">
        <f t="shared" si="13"/>
        <v>7.0423529411764711</v>
      </c>
      <c r="AL28" s="23">
        <f t="shared" si="14"/>
        <v>17.60588235294118</v>
      </c>
      <c r="AM28" s="23">
        <f t="shared" si="15"/>
        <v>0</v>
      </c>
      <c r="AN28" s="23">
        <f t="shared" si="16"/>
        <v>17.60588235294118</v>
      </c>
      <c r="AQ28" s="32">
        <f t="shared" si="17"/>
        <v>42736</v>
      </c>
      <c r="AR28" s="32">
        <f t="shared" si="18"/>
        <v>42916</v>
      </c>
      <c r="AS28" s="56">
        <v>0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0.44014705882352945</v>
      </c>
      <c r="BA28" s="23">
        <f t="shared" si="26"/>
        <v>0</v>
      </c>
      <c r="BB28" s="23">
        <f t="shared" si="27"/>
        <v>0</v>
      </c>
      <c r="BC28" s="23">
        <f t="shared" si="28"/>
        <v>0</v>
      </c>
      <c r="BD28" s="23">
        <f t="shared" si="29"/>
        <v>0</v>
      </c>
    </row>
    <row r="29" spans="1:56">
      <c r="A29" s="1" t="s">
        <v>20</v>
      </c>
      <c r="B29" s="1" t="s">
        <v>28</v>
      </c>
      <c r="C29" s="1" t="s">
        <v>22</v>
      </c>
      <c r="D29" s="1" t="s">
        <v>29</v>
      </c>
      <c r="E29" s="51" t="s">
        <v>154</v>
      </c>
      <c r="F29" s="51" t="s">
        <v>108</v>
      </c>
      <c r="G29" s="51" t="s">
        <v>109</v>
      </c>
      <c r="H29" s="1" t="s">
        <v>146</v>
      </c>
      <c r="I29" s="1" t="s">
        <v>147</v>
      </c>
      <c r="J29" s="51" t="s">
        <v>148</v>
      </c>
      <c r="K29" s="51" t="s">
        <v>112</v>
      </c>
      <c r="L29" s="51" t="s">
        <v>148</v>
      </c>
      <c r="M29" s="1">
        <v>1946184</v>
      </c>
      <c r="N29" s="50" t="s">
        <v>155</v>
      </c>
      <c r="O29" s="55">
        <f>DATE(2012,3,1)</f>
        <v>40969</v>
      </c>
      <c r="P29" s="55">
        <f>DATE(2014,12,31)</f>
        <v>42004</v>
      </c>
      <c r="Q29" s="51">
        <v>1000</v>
      </c>
      <c r="S29" s="51">
        <v>2.5</v>
      </c>
      <c r="U29" s="1">
        <f t="shared" si="0"/>
        <v>1036</v>
      </c>
      <c r="V29" s="31">
        <f t="shared" si="1"/>
        <v>0.96525096525096521</v>
      </c>
      <c r="W29" s="31">
        <f t="shared" si="2"/>
        <v>352.31660231660231</v>
      </c>
      <c r="X29" s="31">
        <f t="shared" si="3"/>
        <v>0.44039575289575289</v>
      </c>
      <c r="AA29" s="32">
        <f t="shared" si="4"/>
        <v>42552</v>
      </c>
      <c r="AB29" s="32">
        <f t="shared" si="5"/>
        <v>42735</v>
      </c>
      <c r="AC29" s="50">
        <v>36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0.22019787644787644</v>
      </c>
      <c r="AK29" s="23">
        <f t="shared" si="13"/>
        <v>3.9635617760617761</v>
      </c>
      <c r="AL29" s="23">
        <f t="shared" si="14"/>
        <v>9.9089044401544406</v>
      </c>
      <c r="AM29" s="23">
        <f t="shared" si="15"/>
        <v>4.9544522200772203</v>
      </c>
      <c r="AN29" s="23">
        <f t="shared" si="16"/>
        <v>14.863356660231661</v>
      </c>
      <c r="AQ29" s="32">
        <f t="shared" si="17"/>
        <v>42736</v>
      </c>
      <c r="AR29" s="32">
        <f t="shared" si="18"/>
        <v>42916</v>
      </c>
      <c r="AS29" s="50">
        <v>36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0.22019787644787644</v>
      </c>
      <c r="BA29" s="23">
        <f t="shared" si="26"/>
        <v>3.9635617760617761</v>
      </c>
      <c r="BB29" s="23">
        <f t="shared" si="27"/>
        <v>9.9089044401544406</v>
      </c>
      <c r="BC29" s="23">
        <f t="shared" si="28"/>
        <v>4.9544522200772203</v>
      </c>
      <c r="BD29" s="23">
        <f t="shared" si="29"/>
        <v>14.863356660231661</v>
      </c>
    </row>
    <row r="30" spans="1:56">
      <c r="A30" s="1" t="s">
        <v>20</v>
      </c>
      <c r="B30" s="1" t="s">
        <v>28</v>
      </c>
      <c r="C30" s="1" t="s">
        <v>22</v>
      </c>
      <c r="D30" s="1" t="s">
        <v>29</v>
      </c>
      <c r="E30" s="51" t="s">
        <v>154</v>
      </c>
      <c r="F30" s="51" t="s">
        <v>108</v>
      </c>
      <c r="G30" s="51" t="s">
        <v>109</v>
      </c>
      <c r="H30" s="1" t="s">
        <v>156</v>
      </c>
      <c r="I30" s="1" t="s">
        <v>128</v>
      </c>
      <c r="J30" s="51" t="s">
        <v>112</v>
      </c>
      <c r="K30" s="51" t="s">
        <v>112</v>
      </c>
      <c r="L30" s="51" t="s">
        <v>148</v>
      </c>
      <c r="M30" s="1">
        <v>1946202</v>
      </c>
      <c r="N30" s="50" t="s">
        <v>157</v>
      </c>
      <c r="O30" s="55">
        <f>DATE(2012,3,1)</f>
        <v>40969</v>
      </c>
      <c r="P30" s="55">
        <f>DATE(2014,12,31)</f>
        <v>42004</v>
      </c>
      <c r="Q30" s="51">
        <v>1200</v>
      </c>
      <c r="S30" s="51">
        <v>2.5</v>
      </c>
      <c r="U30" s="1">
        <f t="shared" si="0"/>
        <v>1036</v>
      </c>
      <c r="V30" s="31">
        <f t="shared" si="1"/>
        <v>1.1583011583011582</v>
      </c>
      <c r="W30" s="31">
        <f t="shared" si="2"/>
        <v>422.77992277992274</v>
      </c>
      <c r="X30" s="31">
        <f t="shared" si="3"/>
        <v>0.52847490347490345</v>
      </c>
      <c r="AA30" s="32">
        <f t="shared" si="4"/>
        <v>42552</v>
      </c>
      <c r="AB30" s="32">
        <f t="shared" si="5"/>
        <v>42735</v>
      </c>
      <c r="AC30" s="50">
        <v>6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92</v>
      </c>
      <c r="AI30" s="23">
        <f t="shared" si="11"/>
        <v>0.5</v>
      </c>
      <c r="AJ30" s="23">
        <f t="shared" si="12"/>
        <v>0.26423745173745172</v>
      </c>
      <c r="AK30" s="23">
        <f t="shared" si="13"/>
        <v>0.79271235521235517</v>
      </c>
      <c r="AL30" s="23">
        <f t="shared" si="14"/>
        <v>1.981780888030888</v>
      </c>
      <c r="AM30" s="23">
        <f t="shared" si="15"/>
        <v>0</v>
      </c>
      <c r="AN30" s="23">
        <f t="shared" si="16"/>
        <v>1.981780888030888</v>
      </c>
      <c r="AQ30" s="32">
        <f t="shared" si="17"/>
        <v>42736</v>
      </c>
      <c r="AR30" s="32">
        <f t="shared" si="18"/>
        <v>42916</v>
      </c>
      <c r="AS30" s="50">
        <v>6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0.26423745173745172</v>
      </c>
      <c r="BA30" s="23">
        <f t="shared" si="26"/>
        <v>0.79271235521235517</v>
      </c>
      <c r="BB30" s="23">
        <f t="shared" si="27"/>
        <v>1.981780888030888</v>
      </c>
      <c r="BC30" s="23">
        <f t="shared" si="28"/>
        <v>0</v>
      </c>
      <c r="BD30" s="23">
        <f t="shared" si="29"/>
        <v>1.981780888030888</v>
      </c>
    </row>
    <row r="31" spans="1:56">
      <c r="A31" s="1" t="s">
        <v>20</v>
      </c>
      <c r="B31" s="1" t="s">
        <v>28</v>
      </c>
      <c r="C31" s="1" t="s">
        <v>22</v>
      </c>
      <c r="D31" s="1" t="s">
        <v>29</v>
      </c>
      <c r="E31" s="51" t="s">
        <v>154</v>
      </c>
      <c r="F31" s="51" t="s">
        <v>108</v>
      </c>
      <c r="G31" s="51" t="s">
        <v>109</v>
      </c>
      <c r="H31" s="1" t="s">
        <v>158</v>
      </c>
      <c r="I31" s="1" t="s">
        <v>125</v>
      </c>
      <c r="J31" s="51" t="s">
        <v>112</v>
      </c>
      <c r="K31" s="51" t="s">
        <v>112</v>
      </c>
      <c r="L31" s="51" t="s">
        <v>148</v>
      </c>
      <c r="M31" s="1">
        <v>1946241</v>
      </c>
      <c r="N31" s="50" t="s">
        <v>159</v>
      </c>
      <c r="O31" s="55">
        <f>DATE(2012,3,1)</f>
        <v>40969</v>
      </c>
      <c r="P31" s="55">
        <f>DATE(2014,12,31)</f>
        <v>42004</v>
      </c>
      <c r="Q31" s="51">
        <v>1200</v>
      </c>
      <c r="S31" s="51">
        <v>2</v>
      </c>
      <c r="U31" s="1">
        <f t="shared" si="0"/>
        <v>1036</v>
      </c>
      <c r="V31" s="31">
        <f t="shared" si="1"/>
        <v>1.1583011583011582</v>
      </c>
      <c r="W31" s="31">
        <f t="shared" si="2"/>
        <v>422.77992277992274</v>
      </c>
      <c r="X31" s="31">
        <f t="shared" si="3"/>
        <v>0.52847490347490345</v>
      </c>
      <c r="AA31" s="32">
        <f t="shared" si="4"/>
        <v>42552</v>
      </c>
      <c r="AB31" s="32">
        <f t="shared" si="5"/>
        <v>42735</v>
      </c>
      <c r="AC31" s="50">
        <v>5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92</v>
      </c>
      <c r="AI31" s="23">
        <f t="shared" si="11"/>
        <v>0.5</v>
      </c>
      <c r="AJ31" s="23">
        <f t="shared" si="12"/>
        <v>0.26423745173745172</v>
      </c>
      <c r="AK31" s="23">
        <f t="shared" si="13"/>
        <v>0.66059362934362931</v>
      </c>
      <c r="AL31" s="23">
        <f t="shared" si="14"/>
        <v>1.3211872586872586</v>
      </c>
      <c r="AM31" s="23">
        <f t="shared" si="15"/>
        <v>0</v>
      </c>
      <c r="AN31" s="23">
        <f t="shared" si="16"/>
        <v>1.3211872586872586</v>
      </c>
      <c r="AQ31" s="32">
        <f t="shared" si="17"/>
        <v>42736</v>
      </c>
      <c r="AR31" s="32">
        <f t="shared" si="18"/>
        <v>42916</v>
      </c>
      <c r="AS31" s="50">
        <v>5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0.26423745173745172</v>
      </c>
      <c r="BA31" s="23">
        <f t="shared" si="26"/>
        <v>0.66059362934362931</v>
      </c>
      <c r="BB31" s="23">
        <f t="shared" si="27"/>
        <v>1.3211872586872586</v>
      </c>
      <c r="BC31" s="23">
        <f t="shared" si="28"/>
        <v>0</v>
      </c>
      <c r="BD31" s="23">
        <f t="shared" si="29"/>
        <v>1.3211872586872586</v>
      </c>
    </row>
    <row r="32" spans="1:56">
      <c r="A32" s="1" t="s">
        <v>20</v>
      </c>
      <c r="B32" s="1" t="s">
        <v>28</v>
      </c>
      <c r="C32" s="1" t="s">
        <v>22</v>
      </c>
      <c r="D32" s="1" t="s">
        <v>29</v>
      </c>
      <c r="E32" s="51" t="s">
        <v>154</v>
      </c>
      <c r="F32" s="51" t="s">
        <v>108</v>
      </c>
      <c r="G32" s="51" t="s">
        <v>109</v>
      </c>
      <c r="H32" s="1" t="s">
        <v>110</v>
      </c>
      <c r="I32" s="1" t="s">
        <v>111</v>
      </c>
      <c r="J32" s="51" t="s">
        <v>112</v>
      </c>
      <c r="K32" s="51" t="s">
        <v>112</v>
      </c>
      <c r="L32" s="51" t="s">
        <v>148</v>
      </c>
      <c r="M32" s="1">
        <v>1946381</v>
      </c>
      <c r="N32" s="50" t="s">
        <v>160</v>
      </c>
      <c r="O32" s="55">
        <f>DATE(2012,3,1)</f>
        <v>40969</v>
      </c>
      <c r="P32" s="55">
        <f>DATE(2014,12,31)</f>
        <v>42004</v>
      </c>
      <c r="Q32" s="51">
        <v>1000</v>
      </c>
      <c r="S32" s="51">
        <v>2</v>
      </c>
      <c r="U32" s="1">
        <f t="shared" si="0"/>
        <v>1036</v>
      </c>
      <c r="V32" s="31">
        <f t="shared" si="1"/>
        <v>0.96525096525096521</v>
      </c>
      <c r="W32" s="31">
        <f t="shared" si="2"/>
        <v>352.31660231660231</v>
      </c>
      <c r="X32" s="31">
        <f t="shared" si="3"/>
        <v>0.44039575289575289</v>
      </c>
      <c r="AA32" s="32">
        <f t="shared" si="4"/>
        <v>42552</v>
      </c>
      <c r="AB32" s="32">
        <f t="shared" si="5"/>
        <v>42735</v>
      </c>
      <c r="AC32" s="50">
        <v>39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0.22019787644787644</v>
      </c>
      <c r="AK32" s="23">
        <f t="shared" si="13"/>
        <v>4.2938585907335911</v>
      </c>
      <c r="AL32" s="23">
        <f t="shared" si="14"/>
        <v>8.5877171814671822</v>
      </c>
      <c r="AM32" s="23">
        <f t="shared" si="15"/>
        <v>0</v>
      </c>
      <c r="AN32" s="23">
        <f t="shared" si="16"/>
        <v>8.5877171814671822</v>
      </c>
      <c r="AQ32" s="32">
        <f t="shared" si="17"/>
        <v>42736</v>
      </c>
      <c r="AR32" s="32">
        <f t="shared" si="18"/>
        <v>42916</v>
      </c>
      <c r="AS32" s="50">
        <v>39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0.22019787644787644</v>
      </c>
      <c r="BA32" s="23">
        <f t="shared" si="26"/>
        <v>4.2938585907335911</v>
      </c>
      <c r="BB32" s="23">
        <f t="shared" si="27"/>
        <v>8.5877171814671822</v>
      </c>
      <c r="BC32" s="23">
        <f t="shared" si="28"/>
        <v>0</v>
      </c>
      <c r="BD32" s="23">
        <f t="shared" si="29"/>
        <v>8.5877171814671822</v>
      </c>
    </row>
    <row r="33" spans="1:56">
      <c r="A33" s="1" t="s">
        <v>20</v>
      </c>
      <c r="B33" s="1" t="s">
        <v>28</v>
      </c>
      <c r="C33" s="1" t="s">
        <v>22</v>
      </c>
      <c r="D33" s="1" t="s">
        <v>29</v>
      </c>
      <c r="E33" s="51" t="s">
        <v>107</v>
      </c>
      <c r="F33" s="51" t="s">
        <v>108</v>
      </c>
      <c r="G33" s="51" t="s">
        <v>109</v>
      </c>
      <c r="H33" s="1" t="s">
        <v>161</v>
      </c>
      <c r="I33" s="1" t="s">
        <v>131</v>
      </c>
      <c r="J33" s="51" t="s">
        <v>112</v>
      </c>
      <c r="K33" s="51" t="s">
        <v>112</v>
      </c>
      <c r="L33" s="51" t="s">
        <v>112</v>
      </c>
      <c r="M33" s="1">
        <v>1964832</v>
      </c>
      <c r="N33" s="50" t="s">
        <v>162</v>
      </c>
      <c r="O33" s="55">
        <f t="shared" ref="O33:O38" si="31">DATE(2014,10,29)</f>
        <v>41941</v>
      </c>
      <c r="P33" s="55">
        <f t="shared" ref="P33:P39" si="32">DATE(2016,12,31)</f>
        <v>42735</v>
      </c>
      <c r="Q33" s="51">
        <v>1480</v>
      </c>
      <c r="S33" s="51">
        <v>2.5</v>
      </c>
      <c r="U33" s="1">
        <f t="shared" si="0"/>
        <v>795</v>
      </c>
      <c r="V33" s="31">
        <f t="shared" si="1"/>
        <v>1.8616352201257862</v>
      </c>
      <c r="W33" s="31">
        <f t="shared" si="2"/>
        <v>679.49685534591197</v>
      </c>
      <c r="X33" s="31">
        <f t="shared" si="3"/>
        <v>0.84937106918238992</v>
      </c>
      <c r="AA33" s="32">
        <f t="shared" si="4"/>
        <v>42552</v>
      </c>
      <c r="AB33" s="32">
        <f t="shared" si="5"/>
        <v>42735</v>
      </c>
      <c r="AC33" s="50">
        <v>20</v>
      </c>
      <c r="AD33" s="1">
        <f t="shared" si="6"/>
        <v>0</v>
      </c>
      <c r="AE33" s="1">
        <f t="shared" si="7"/>
        <v>0</v>
      </c>
      <c r="AF33" s="1">
        <f t="shared" si="8"/>
        <v>184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0.84937106918238992</v>
      </c>
      <c r="AK33" s="23">
        <f t="shared" si="13"/>
        <v>16.987421383647799</v>
      </c>
      <c r="AL33" s="23">
        <f t="shared" si="14"/>
        <v>42.468553459119498</v>
      </c>
      <c r="AM33" s="23">
        <f t="shared" si="15"/>
        <v>0</v>
      </c>
      <c r="AN33" s="23">
        <f t="shared" si="16"/>
        <v>42.468553459119498</v>
      </c>
      <c r="AQ33" s="32">
        <f t="shared" si="17"/>
        <v>42736</v>
      </c>
      <c r="AR33" s="32">
        <f t="shared" si="18"/>
        <v>42916</v>
      </c>
      <c r="AS33" s="50">
        <v>20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0.42468553459119496</v>
      </c>
      <c r="BA33" s="23">
        <f t="shared" si="26"/>
        <v>4.2468553459119498</v>
      </c>
      <c r="BB33" s="23">
        <f t="shared" si="27"/>
        <v>10.617138364779874</v>
      </c>
      <c r="BC33" s="23">
        <f t="shared" si="28"/>
        <v>0</v>
      </c>
      <c r="BD33" s="23">
        <f t="shared" si="29"/>
        <v>10.617138364779874</v>
      </c>
    </row>
    <row r="34" spans="1:56">
      <c r="A34" s="1" t="s">
        <v>20</v>
      </c>
      <c r="B34" s="1" t="s">
        <v>28</v>
      </c>
      <c r="C34" s="1" t="s">
        <v>22</v>
      </c>
      <c r="D34" s="1" t="s">
        <v>29</v>
      </c>
      <c r="E34" s="51" t="s">
        <v>107</v>
      </c>
      <c r="F34" s="51" t="s">
        <v>108</v>
      </c>
      <c r="G34" s="51" t="s">
        <v>109</v>
      </c>
      <c r="H34" s="1" t="s">
        <v>136</v>
      </c>
      <c r="I34" s="1" t="s">
        <v>131</v>
      </c>
      <c r="J34" s="51" t="s">
        <v>112</v>
      </c>
      <c r="K34" s="51" t="s">
        <v>112</v>
      </c>
      <c r="L34" s="51" t="s">
        <v>112</v>
      </c>
      <c r="M34" s="1">
        <v>1964834</v>
      </c>
      <c r="N34" s="50" t="s">
        <v>163</v>
      </c>
      <c r="O34" s="55">
        <f t="shared" si="31"/>
        <v>41941</v>
      </c>
      <c r="P34" s="55">
        <f t="shared" si="32"/>
        <v>42735</v>
      </c>
      <c r="Q34" s="51">
        <v>1220</v>
      </c>
      <c r="S34" s="51">
        <v>1</v>
      </c>
      <c r="U34" s="1">
        <f t="shared" si="0"/>
        <v>795</v>
      </c>
      <c r="V34" s="31">
        <f t="shared" si="1"/>
        <v>1.5345911949685536</v>
      </c>
      <c r="W34" s="31">
        <f t="shared" si="2"/>
        <v>560.12578616352209</v>
      </c>
      <c r="X34" s="31">
        <f t="shared" si="3"/>
        <v>0.70015723270440267</v>
      </c>
      <c r="AA34" s="32">
        <f t="shared" si="4"/>
        <v>42552</v>
      </c>
      <c r="AB34" s="32">
        <f t="shared" si="5"/>
        <v>42735</v>
      </c>
      <c r="AC34" s="50">
        <v>18</v>
      </c>
      <c r="AD34" s="1">
        <f t="shared" si="6"/>
        <v>0</v>
      </c>
      <c r="AE34" s="1">
        <f t="shared" si="7"/>
        <v>0</v>
      </c>
      <c r="AF34" s="1">
        <f t="shared" si="8"/>
        <v>184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0.70015723270440267</v>
      </c>
      <c r="AK34" s="23">
        <f t="shared" si="13"/>
        <v>12.602830188679247</v>
      </c>
      <c r="AL34" s="23">
        <f t="shared" si="14"/>
        <v>12.602830188679247</v>
      </c>
      <c r="AM34" s="23">
        <f t="shared" si="15"/>
        <v>0</v>
      </c>
      <c r="AN34" s="23">
        <f t="shared" si="16"/>
        <v>12.602830188679247</v>
      </c>
      <c r="AQ34" s="32">
        <f t="shared" si="17"/>
        <v>42736</v>
      </c>
      <c r="AR34" s="32">
        <f t="shared" si="18"/>
        <v>42916</v>
      </c>
      <c r="AS34" s="50">
        <v>18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0.35007861635220133</v>
      </c>
      <c r="BA34" s="23">
        <f t="shared" si="26"/>
        <v>3.1507075471698118</v>
      </c>
      <c r="BB34" s="23">
        <f t="shared" si="27"/>
        <v>3.1507075471698118</v>
      </c>
      <c r="BC34" s="23">
        <f t="shared" si="28"/>
        <v>0</v>
      </c>
      <c r="BD34" s="23">
        <f t="shared" si="29"/>
        <v>3.1507075471698118</v>
      </c>
    </row>
    <row r="35" spans="1:56">
      <c r="A35" s="1" t="s">
        <v>20</v>
      </c>
      <c r="B35" s="1" t="s">
        <v>28</v>
      </c>
      <c r="C35" s="1" t="s">
        <v>22</v>
      </c>
      <c r="D35" s="1" t="s">
        <v>29</v>
      </c>
      <c r="E35" s="51" t="s">
        <v>107</v>
      </c>
      <c r="F35" s="51" t="s">
        <v>108</v>
      </c>
      <c r="G35" s="51" t="s">
        <v>109</v>
      </c>
      <c r="H35" s="1" t="s">
        <v>124</v>
      </c>
      <c r="I35" s="1" t="s">
        <v>125</v>
      </c>
      <c r="J35" s="51" t="s">
        <v>112</v>
      </c>
      <c r="K35" s="51" t="s">
        <v>112</v>
      </c>
      <c r="L35" s="51" t="s">
        <v>112</v>
      </c>
      <c r="M35" s="1">
        <v>1964835</v>
      </c>
      <c r="N35" s="50" t="s">
        <v>164</v>
      </c>
      <c r="O35" s="55">
        <f t="shared" si="31"/>
        <v>41941</v>
      </c>
      <c r="P35" s="55">
        <f t="shared" si="32"/>
        <v>42735</v>
      </c>
      <c r="Q35" s="51">
        <v>1520</v>
      </c>
      <c r="S35" s="51">
        <v>2.5</v>
      </c>
      <c r="U35" s="1">
        <f t="shared" si="0"/>
        <v>795</v>
      </c>
      <c r="V35" s="31">
        <f t="shared" si="1"/>
        <v>1.9119496855345912</v>
      </c>
      <c r="W35" s="31">
        <f t="shared" si="2"/>
        <v>697.86163522012578</v>
      </c>
      <c r="X35" s="31">
        <f t="shared" si="3"/>
        <v>0.87232704402515726</v>
      </c>
      <c r="AA35" s="32">
        <f t="shared" si="4"/>
        <v>42552</v>
      </c>
      <c r="AB35" s="32">
        <f t="shared" si="5"/>
        <v>42735</v>
      </c>
      <c r="AC35" s="50">
        <v>13</v>
      </c>
      <c r="AD35" s="1">
        <f t="shared" si="6"/>
        <v>0</v>
      </c>
      <c r="AE35" s="1">
        <f t="shared" si="7"/>
        <v>0</v>
      </c>
      <c r="AF35" s="1">
        <f t="shared" si="8"/>
        <v>184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0.87232704402515726</v>
      </c>
      <c r="AK35" s="23">
        <f t="shared" si="13"/>
        <v>11.340251572327045</v>
      </c>
      <c r="AL35" s="23">
        <f t="shared" si="14"/>
        <v>28.350628930817614</v>
      </c>
      <c r="AM35" s="23">
        <f t="shared" si="15"/>
        <v>0</v>
      </c>
      <c r="AN35" s="23">
        <f t="shared" si="16"/>
        <v>28.350628930817614</v>
      </c>
      <c r="AQ35" s="32">
        <f t="shared" si="17"/>
        <v>42736</v>
      </c>
      <c r="AR35" s="32">
        <f t="shared" si="18"/>
        <v>42916</v>
      </c>
      <c r="AS35" s="50">
        <v>13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0.43616352201257863</v>
      </c>
      <c r="BA35" s="23">
        <f t="shared" si="26"/>
        <v>2.8350628930817612</v>
      </c>
      <c r="BB35" s="23">
        <f t="shared" si="27"/>
        <v>7.0876572327044034</v>
      </c>
      <c r="BC35" s="23">
        <f t="shared" si="28"/>
        <v>0</v>
      </c>
      <c r="BD35" s="23">
        <f t="shared" si="29"/>
        <v>7.0876572327044034</v>
      </c>
    </row>
    <row r="36" spans="1:56">
      <c r="A36" s="1" t="s">
        <v>20</v>
      </c>
      <c r="B36" s="1" t="s">
        <v>28</v>
      </c>
      <c r="C36" s="1" t="s">
        <v>22</v>
      </c>
      <c r="D36" s="1" t="s">
        <v>29</v>
      </c>
      <c r="E36" s="51" t="s">
        <v>107</v>
      </c>
      <c r="F36" s="51" t="s">
        <v>108</v>
      </c>
      <c r="G36" s="51" t="s">
        <v>109</v>
      </c>
      <c r="H36" s="1" t="s">
        <v>146</v>
      </c>
      <c r="I36" s="1" t="s">
        <v>147</v>
      </c>
      <c r="J36" s="51" t="s">
        <v>148</v>
      </c>
      <c r="K36" s="51" t="s">
        <v>112</v>
      </c>
      <c r="L36" s="51" t="s">
        <v>112</v>
      </c>
      <c r="M36" s="1">
        <v>1964836</v>
      </c>
      <c r="N36" s="50" t="s">
        <v>165</v>
      </c>
      <c r="O36" s="55">
        <f t="shared" si="31"/>
        <v>41941</v>
      </c>
      <c r="P36" s="55">
        <f t="shared" si="32"/>
        <v>42735</v>
      </c>
      <c r="Q36" s="51">
        <v>1520</v>
      </c>
      <c r="S36" s="51">
        <v>2.5</v>
      </c>
      <c r="U36" s="1">
        <f t="shared" ref="U36:U67" si="33">P36-O36+1</f>
        <v>795</v>
      </c>
      <c r="V36" s="31">
        <f t="shared" ref="V36:V67" si="34">Q36/U36</f>
        <v>1.9119496855345912</v>
      </c>
      <c r="W36" s="31">
        <f t="shared" ref="W36:W67" si="35">IF(U36&gt;365,V36*365,Q36)</f>
        <v>697.86163522012578</v>
      </c>
      <c r="X36" s="31">
        <f t="shared" ref="X36:X67" si="36">IF(U36&gt;365,W36/800,Q36/800)</f>
        <v>0.87232704402515726</v>
      </c>
      <c r="AA36" s="32">
        <f t="shared" ref="AA36:AA67" si="37">DATE(2016,7,1)</f>
        <v>42552</v>
      </c>
      <c r="AB36" s="32">
        <f t="shared" ref="AB36:AB67" si="38">DATE(2016,12,31)</f>
        <v>42735</v>
      </c>
      <c r="AC36" s="50">
        <v>15</v>
      </c>
      <c r="AD36" s="1">
        <f t="shared" ref="AD36:AD67" si="39">IF(AND(O36&lt;AA36,P36&gt;AB36),AB36-AA36+1,0)</f>
        <v>0</v>
      </c>
      <c r="AE36" s="1">
        <f t="shared" ref="AE36:AE67" si="40">IF(AND(O36&gt;=AA36,P36&gt;AB36,O36&lt;AB36),AB36-O36+1,0)</f>
        <v>0</v>
      </c>
      <c r="AF36" s="1">
        <f t="shared" ref="AF36:AF67" si="41">IF(AND(O36&lt;AA36,P36&lt;=AB36,P36&gt;=AA36),P36-AA36+1,0)</f>
        <v>184</v>
      </c>
      <c r="AG36" s="1">
        <f t="shared" ref="AG36:AG67" si="42">IF(AND(O36&gt;=AA36,P36&lt;=AB36),P36-O36+1,0)</f>
        <v>0</v>
      </c>
      <c r="AH36" s="1">
        <f t="shared" ref="AH36:AH67" si="43">IF(AND(O36&lt;AA36,P36&lt;AA36),(AB36-AA36+1)/2,0)</f>
        <v>0</v>
      </c>
      <c r="AI36" s="23">
        <f t="shared" ref="AI36:AI67" si="44">SUM(AD36:AH36)/(AB36-AA36+1)</f>
        <v>1</v>
      </c>
      <c r="AJ36" s="23">
        <f t="shared" ref="AJ36:AJ67" si="45">X36*AI36</f>
        <v>0.87232704402515726</v>
      </c>
      <c r="AK36" s="23">
        <f t="shared" ref="AK36:AK67" si="46">IF(AH36=0,AJ36*AC36,IF(AA36-P36&gt;1095,0,AJ36*(AC36/2)))</f>
        <v>13.084905660377359</v>
      </c>
      <c r="AL36" s="23">
        <f t="shared" ref="AL36:AL67" si="47">AK36*S36</f>
        <v>32.712264150943398</v>
      </c>
      <c r="AM36" s="23">
        <f t="shared" ref="AM36:AM67" si="48">IF(J36="SIM",AL36*50%,0)</f>
        <v>16.356132075471699</v>
      </c>
      <c r="AN36" s="23">
        <f t="shared" ref="AN36:AN67" si="49">AL36+AM36</f>
        <v>49.068396226415096</v>
      </c>
      <c r="AQ36" s="32">
        <f t="shared" ref="AQ36:AQ67" si="50">DATE(2017,1,1)</f>
        <v>42736</v>
      </c>
      <c r="AR36" s="32">
        <f t="shared" ref="AR36:AR67" si="51">DATE(2017,6,30)</f>
        <v>42916</v>
      </c>
      <c r="AS36" s="50">
        <v>15</v>
      </c>
      <c r="AT36" s="1">
        <f t="shared" ref="AT36:AT67" si="52">IF(AND(O36&lt;AQ36,P36&gt;AR36),AR36-AQ36+1,0)</f>
        <v>0</v>
      </c>
      <c r="AU36" s="1">
        <f t="shared" ref="AU36:AU67" si="53">IF(AND(O36&gt;=AQ36,P36&gt;AR36,O36&lt;AR36),AR36-O36+1,0)</f>
        <v>0</v>
      </c>
      <c r="AV36" s="1">
        <f t="shared" ref="AV36:AV67" si="54">IF(AND(O36&lt;AQ36,P36&lt;=AR36,P36&gt;=AQ36),P36-AQ36+1,0)</f>
        <v>0</v>
      </c>
      <c r="AW36" s="1">
        <f t="shared" ref="AW36:AW67" si="55">IF(AND(O36&gt;=AQ36,P36&lt;=AR36),P36-O36+1,0)</f>
        <v>0</v>
      </c>
      <c r="AX36" s="1">
        <f t="shared" ref="AX36:AX67" si="56">IF(AND(O36&lt;AQ36,P36&lt;AQ36),(AR36-AQ36+1)/2,0)</f>
        <v>90.5</v>
      </c>
      <c r="AY36" s="23">
        <f t="shared" ref="AY36:AY67" si="57">SUM(AT36:AX36)/(AR36-AQ36+1)</f>
        <v>0.5</v>
      </c>
      <c r="AZ36" s="23">
        <f t="shared" ref="AZ36:AZ67" si="58">X36*AY36</f>
        <v>0.43616352201257863</v>
      </c>
      <c r="BA36" s="23">
        <f t="shared" ref="BA36:BA67" si="59">IF(AX36=0,AZ36*AS36,IF(AQ36-P36&gt;1095,0,AZ36*(AS36/2)))</f>
        <v>3.2712264150943398</v>
      </c>
      <c r="BB36" s="23">
        <f t="shared" ref="BB36:BB67" si="60">BA36*S36</f>
        <v>8.1780660377358494</v>
      </c>
      <c r="BC36" s="23">
        <f t="shared" ref="BC36:BC67" si="61">IF(J36="SIM",BB36*50%,0)</f>
        <v>4.0890330188679247</v>
      </c>
      <c r="BD36" s="23">
        <f t="shared" ref="BD36:BD67" si="62">BB36+BC36</f>
        <v>12.267099056603774</v>
      </c>
    </row>
    <row r="37" spans="1:56">
      <c r="A37" s="1" t="s">
        <v>20</v>
      </c>
      <c r="B37" s="1" t="s">
        <v>28</v>
      </c>
      <c r="C37" s="1" t="s">
        <v>22</v>
      </c>
      <c r="D37" s="1" t="s">
        <v>29</v>
      </c>
      <c r="E37" s="51" t="s">
        <v>154</v>
      </c>
      <c r="F37" s="51" t="s">
        <v>108</v>
      </c>
      <c r="G37" s="51" t="s">
        <v>109</v>
      </c>
      <c r="H37" s="1" t="s">
        <v>166</v>
      </c>
      <c r="I37" s="1" t="s">
        <v>167</v>
      </c>
      <c r="J37" s="51" t="s">
        <v>112</v>
      </c>
      <c r="K37" s="51" t="s">
        <v>112</v>
      </c>
      <c r="L37" s="51" t="s">
        <v>148</v>
      </c>
      <c r="M37" s="1">
        <v>1970430</v>
      </c>
      <c r="N37" s="50" t="s">
        <v>168</v>
      </c>
      <c r="O37" s="55">
        <f t="shared" si="31"/>
        <v>41941</v>
      </c>
      <c r="P37" s="55">
        <f t="shared" si="32"/>
        <v>42735</v>
      </c>
      <c r="Q37" s="51">
        <v>1680</v>
      </c>
      <c r="S37" s="51">
        <v>1.5</v>
      </c>
      <c r="U37" s="1">
        <f t="shared" si="33"/>
        <v>795</v>
      </c>
      <c r="V37" s="31">
        <f t="shared" si="34"/>
        <v>2.1132075471698113</v>
      </c>
      <c r="W37" s="31">
        <f t="shared" si="35"/>
        <v>771.32075471698113</v>
      </c>
      <c r="X37" s="31">
        <f t="shared" si="36"/>
        <v>0.96415094339622642</v>
      </c>
      <c r="AA37" s="32">
        <f t="shared" si="37"/>
        <v>42552</v>
      </c>
      <c r="AB37" s="32">
        <f t="shared" si="38"/>
        <v>42735</v>
      </c>
      <c r="AC37" s="50">
        <v>24</v>
      </c>
      <c r="AD37" s="1">
        <f t="shared" si="39"/>
        <v>0</v>
      </c>
      <c r="AE37" s="1">
        <f t="shared" si="40"/>
        <v>0</v>
      </c>
      <c r="AF37" s="1">
        <f t="shared" si="41"/>
        <v>184</v>
      </c>
      <c r="AG37" s="1">
        <f t="shared" si="42"/>
        <v>0</v>
      </c>
      <c r="AH37" s="1">
        <f t="shared" si="43"/>
        <v>0</v>
      </c>
      <c r="AI37" s="23">
        <f t="shared" si="44"/>
        <v>1</v>
      </c>
      <c r="AJ37" s="23">
        <f t="shared" si="45"/>
        <v>0.96415094339622642</v>
      </c>
      <c r="AK37" s="23">
        <f t="shared" si="46"/>
        <v>23.139622641509433</v>
      </c>
      <c r="AL37" s="23">
        <f t="shared" si="47"/>
        <v>34.70943396226415</v>
      </c>
      <c r="AM37" s="23">
        <f t="shared" si="48"/>
        <v>0</v>
      </c>
      <c r="AN37" s="23">
        <f t="shared" si="49"/>
        <v>34.70943396226415</v>
      </c>
      <c r="AQ37" s="32">
        <f t="shared" si="50"/>
        <v>42736</v>
      </c>
      <c r="AR37" s="32">
        <f t="shared" si="51"/>
        <v>42916</v>
      </c>
      <c r="AS37" s="50">
        <v>24</v>
      </c>
      <c r="AT37" s="1">
        <f t="shared" si="52"/>
        <v>0</v>
      </c>
      <c r="AU37" s="1">
        <f t="shared" si="53"/>
        <v>0</v>
      </c>
      <c r="AV37" s="1">
        <f t="shared" si="54"/>
        <v>0</v>
      </c>
      <c r="AW37" s="1">
        <f t="shared" si="55"/>
        <v>0</v>
      </c>
      <c r="AX37" s="1">
        <f t="shared" si="56"/>
        <v>90.5</v>
      </c>
      <c r="AY37" s="23">
        <f t="shared" si="57"/>
        <v>0.5</v>
      </c>
      <c r="AZ37" s="23">
        <f t="shared" si="58"/>
        <v>0.48207547169811321</v>
      </c>
      <c r="BA37" s="23">
        <f t="shared" si="59"/>
        <v>5.7849056603773583</v>
      </c>
      <c r="BB37" s="23">
        <f t="shared" si="60"/>
        <v>8.6773584905660375</v>
      </c>
      <c r="BC37" s="23">
        <f t="shared" si="61"/>
        <v>0</v>
      </c>
      <c r="BD37" s="23">
        <f t="shared" si="62"/>
        <v>8.6773584905660375</v>
      </c>
    </row>
    <row r="38" spans="1:56">
      <c r="A38" s="1" t="s">
        <v>20</v>
      </c>
      <c r="B38" s="1" t="s">
        <v>28</v>
      </c>
      <c r="C38" s="1" t="s">
        <v>22</v>
      </c>
      <c r="D38" s="1" t="s">
        <v>29</v>
      </c>
      <c r="E38" s="51" t="s">
        <v>154</v>
      </c>
      <c r="F38" s="51" t="s">
        <v>108</v>
      </c>
      <c r="G38" s="51" t="s">
        <v>109</v>
      </c>
      <c r="H38" s="1" t="s">
        <v>169</v>
      </c>
      <c r="I38" s="1" t="s">
        <v>116</v>
      </c>
      <c r="J38" s="51" t="s">
        <v>112</v>
      </c>
      <c r="K38" s="51" t="s">
        <v>112</v>
      </c>
      <c r="L38" s="51" t="s">
        <v>148</v>
      </c>
      <c r="M38" s="1">
        <v>1970431</v>
      </c>
      <c r="N38" s="50" t="s">
        <v>170</v>
      </c>
      <c r="O38" s="55">
        <f t="shared" si="31"/>
        <v>41941</v>
      </c>
      <c r="P38" s="55">
        <f t="shared" si="32"/>
        <v>42735</v>
      </c>
      <c r="Q38" s="51">
        <v>1680</v>
      </c>
      <c r="S38" s="51">
        <v>2</v>
      </c>
      <c r="U38" s="1">
        <f t="shared" si="33"/>
        <v>795</v>
      </c>
      <c r="V38" s="31">
        <f t="shared" si="34"/>
        <v>2.1132075471698113</v>
      </c>
      <c r="W38" s="31">
        <f t="shared" si="35"/>
        <v>771.32075471698113</v>
      </c>
      <c r="X38" s="31">
        <f t="shared" si="36"/>
        <v>0.96415094339622642</v>
      </c>
      <c r="AA38" s="32">
        <f t="shared" si="37"/>
        <v>42552</v>
      </c>
      <c r="AB38" s="32">
        <f t="shared" si="38"/>
        <v>42735</v>
      </c>
      <c r="AC38" s="50">
        <v>26</v>
      </c>
      <c r="AD38" s="1">
        <f t="shared" si="39"/>
        <v>0</v>
      </c>
      <c r="AE38" s="1">
        <f t="shared" si="40"/>
        <v>0</v>
      </c>
      <c r="AF38" s="1">
        <f t="shared" si="41"/>
        <v>184</v>
      </c>
      <c r="AG38" s="1">
        <f t="shared" si="42"/>
        <v>0</v>
      </c>
      <c r="AH38" s="1">
        <f t="shared" si="43"/>
        <v>0</v>
      </c>
      <c r="AI38" s="23">
        <f t="shared" si="44"/>
        <v>1</v>
      </c>
      <c r="AJ38" s="23">
        <f t="shared" si="45"/>
        <v>0.96415094339622642</v>
      </c>
      <c r="AK38" s="23">
        <f t="shared" si="46"/>
        <v>25.067924528301887</v>
      </c>
      <c r="AL38" s="23">
        <f t="shared" si="47"/>
        <v>50.135849056603774</v>
      </c>
      <c r="AM38" s="23">
        <f t="shared" si="48"/>
        <v>0</v>
      </c>
      <c r="AN38" s="23">
        <f t="shared" si="49"/>
        <v>50.135849056603774</v>
      </c>
      <c r="AQ38" s="32">
        <f t="shared" si="50"/>
        <v>42736</v>
      </c>
      <c r="AR38" s="32">
        <f t="shared" si="51"/>
        <v>42916</v>
      </c>
      <c r="AS38" s="50">
        <v>26</v>
      </c>
      <c r="AT38" s="1">
        <f t="shared" si="52"/>
        <v>0</v>
      </c>
      <c r="AU38" s="1">
        <f t="shared" si="53"/>
        <v>0</v>
      </c>
      <c r="AV38" s="1">
        <f t="shared" si="54"/>
        <v>0</v>
      </c>
      <c r="AW38" s="1">
        <f t="shared" si="55"/>
        <v>0</v>
      </c>
      <c r="AX38" s="1">
        <f t="shared" si="56"/>
        <v>90.5</v>
      </c>
      <c r="AY38" s="23">
        <f t="shared" si="57"/>
        <v>0.5</v>
      </c>
      <c r="AZ38" s="23">
        <f t="shared" si="58"/>
        <v>0.48207547169811321</v>
      </c>
      <c r="BA38" s="23">
        <f t="shared" si="59"/>
        <v>6.2669811320754718</v>
      </c>
      <c r="BB38" s="23">
        <f t="shared" si="60"/>
        <v>12.533962264150944</v>
      </c>
      <c r="BC38" s="23">
        <f t="shared" si="61"/>
        <v>0</v>
      </c>
      <c r="BD38" s="23">
        <f t="shared" si="62"/>
        <v>12.533962264150944</v>
      </c>
    </row>
    <row r="39" spans="1:56">
      <c r="A39" s="1" t="s">
        <v>20</v>
      </c>
      <c r="B39" s="1" t="s">
        <v>28</v>
      </c>
      <c r="C39" s="1" t="s">
        <v>22</v>
      </c>
      <c r="D39" s="1" t="s">
        <v>29</v>
      </c>
      <c r="E39" s="51" t="s">
        <v>154</v>
      </c>
      <c r="F39" s="51" t="s">
        <v>108</v>
      </c>
      <c r="G39" s="51" t="s">
        <v>109</v>
      </c>
      <c r="H39" s="1" t="s">
        <v>166</v>
      </c>
      <c r="I39" s="1" t="s">
        <v>167</v>
      </c>
      <c r="J39" s="51" t="s">
        <v>112</v>
      </c>
      <c r="K39" s="51" t="s">
        <v>112</v>
      </c>
      <c r="L39" s="51" t="s">
        <v>148</v>
      </c>
      <c r="M39" s="1">
        <v>1970843</v>
      </c>
      <c r="N39" s="50" t="s">
        <v>171</v>
      </c>
      <c r="O39" s="55">
        <f>DATE(2014,11,26)</f>
        <v>41969</v>
      </c>
      <c r="P39" s="55">
        <f t="shared" si="32"/>
        <v>42735</v>
      </c>
      <c r="Q39" s="51">
        <v>1680</v>
      </c>
      <c r="S39" s="51">
        <v>1.5</v>
      </c>
      <c r="U39" s="1">
        <f t="shared" si="33"/>
        <v>767</v>
      </c>
      <c r="V39" s="31">
        <f t="shared" si="34"/>
        <v>2.1903520208604954</v>
      </c>
      <c r="W39" s="31">
        <f t="shared" si="35"/>
        <v>799.47848761408079</v>
      </c>
      <c r="X39" s="31">
        <f t="shared" si="36"/>
        <v>0.999348109517601</v>
      </c>
      <c r="AA39" s="32">
        <f t="shared" si="37"/>
        <v>42552</v>
      </c>
      <c r="AB39" s="32">
        <f t="shared" si="38"/>
        <v>42735</v>
      </c>
      <c r="AC39" s="50">
        <v>23</v>
      </c>
      <c r="AD39" s="1">
        <f t="shared" si="39"/>
        <v>0</v>
      </c>
      <c r="AE39" s="1">
        <f t="shared" si="40"/>
        <v>0</v>
      </c>
      <c r="AF39" s="1">
        <f t="shared" si="41"/>
        <v>184</v>
      </c>
      <c r="AG39" s="1">
        <f t="shared" si="42"/>
        <v>0</v>
      </c>
      <c r="AH39" s="1">
        <f t="shared" si="43"/>
        <v>0</v>
      </c>
      <c r="AI39" s="23">
        <f t="shared" si="44"/>
        <v>1</v>
      </c>
      <c r="AJ39" s="23">
        <f t="shared" si="45"/>
        <v>0.999348109517601</v>
      </c>
      <c r="AK39" s="23">
        <f t="shared" si="46"/>
        <v>22.985006518904822</v>
      </c>
      <c r="AL39" s="23">
        <f t="shared" si="47"/>
        <v>34.477509778357231</v>
      </c>
      <c r="AM39" s="23">
        <f t="shared" si="48"/>
        <v>0</v>
      </c>
      <c r="AN39" s="23">
        <f t="shared" si="49"/>
        <v>34.477509778357231</v>
      </c>
      <c r="AQ39" s="32">
        <f t="shared" si="50"/>
        <v>42736</v>
      </c>
      <c r="AR39" s="32">
        <f t="shared" si="51"/>
        <v>42916</v>
      </c>
      <c r="AS39" s="50">
        <v>18</v>
      </c>
      <c r="AT39" s="1">
        <f t="shared" si="52"/>
        <v>0</v>
      </c>
      <c r="AU39" s="1">
        <f t="shared" si="53"/>
        <v>0</v>
      </c>
      <c r="AV39" s="1">
        <f t="shared" si="54"/>
        <v>0</v>
      </c>
      <c r="AW39" s="1">
        <f t="shared" si="55"/>
        <v>0</v>
      </c>
      <c r="AX39" s="1">
        <f t="shared" si="56"/>
        <v>90.5</v>
      </c>
      <c r="AY39" s="23">
        <f t="shared" si="57"/>
        <v>0.5</v>
      </c>
      <c r="AZ39" s="23">
        <f t="shared" si="58"/>
        <v>0.4996740547588005</v>
      </c>
      <c r="BA39" s="23">
        <f t="shared" si="59"/>
        <v>4.4970664928292043</v>
      </c>
      <c r="BB39" s="23">
        <f t="shared" si="60"/>
        <v>6.7455997392438061</v>
      </c>
      <c r="BC39" s="23">
        <f t="shared" si="61"/>
        <v>0</v>
      </c>
      <c r="BD39" s="23">
        <f t="shared" si="62"/>
        <v>6.7455997392438061</v>
      </c>
    </row>
    <row r="40" spans="1:56">
      <c r="A40" s="1" t="s">
        <v>20</v>
      </c>
      <c r="B40" s="1" t="s">
        <v>28</v>
      </c>
      <c r="C40" s="1" t="s">
        <v>22</v>
      </c>
      <c r="D40" s="1" t="s">
        <v>29</v>
      </c>
      <c r="E40" s="51" t="s">
        <v>107</v>
      </c>
      <c r="F40" s="51" t="s">
        <v>114</v>
      </c>
      <c r="G40" s="51" t="s">
        <v>109</v>
      </c>
      <c r="H40" s="1" t="s">
        <v>130</v>
      </c>
      <c r="I40" s="1" t="s">
        <v>131</v>
      </c>
      <c r="J40" s="51" t="s">
        <v>112</v>
      </c>
      <c r="K40" s="51" t="s">
        <v>112</v>
      </c>
      <c r="L40" s="51" t="s">
        <v>112</v>
      </c>
      <c r="M40" s="1">
        <v>1984215</v>
      </c>
      <c r="N40" s="52" t="s">
        <v>172</v>
      </c>
      <c r="O40" s="55">
        <f t="shared" ref="O40:O50" si="63">DATE(2015,5,4)</f>
        <v>42128</v>
      </c>
      <c r="P40" s="55">
        <f>DATE(2018,12,31)</f>
        <v>43465</v>
      </c>
      <c r="Q40" s="51">
        <v>3420</v>
      </c>
      <c r="S40" s="51">
        <v>2.5</v>
      </c>
      <c r="U40" s="1">
        <f t="shared" si="33"/>
        <v>1338</v>
      </c>
      <c r="V40" s="31">
        <f t="shared" si="34"/>
        <v>2.5560538116591927</v>
      </c>
      <c r="W40" s="31">
        <f t="shared" si="35"/>
        <v>932.95964125560533</v>
      </c>
      <c r="X40" s="31">
        <f t="shared" si="36"/>
        <v>1.1661995515695067</v>
      </c>
      <c r="AA40" s="32">
        <f t="shared" si="37"/>
        <v>42552</v>
      </c>
      <c r="AB40" s="32">
        <f t="shared" si="38"/>
        <v>42735</v>
      </c>
      <c r="AC40" s="52">
        <v>34</v>
      </c>
      <c r="AD40" s="1">
        <f t="shared" si="39"/>
        <v>184</v>
      </c>
      <c r="AE40" s="1">
        <f t="shared" si="40"/>
        <v>0</v>
      </c>
      <c r="AF40" s="1">
        <f t="shared" si="41"/>
        <v>0</v>
      </c>
      <c r="AG40" s="1">
        <f t="shared" si="42"/>
        <v>0</v>
      </c>
      <c r="AH40" s="1">
        <f t="shared" si="43"/>
        <v>0</v>
      </c>
      <c r="AI40" s="23">
        <f t="shared" si="44"/>
        <v>1</v>
      </c>
      <c r="AJ40" s="23">
        <f t="shared" si="45"/>
        <v>1.1661995515695067</v>
      </c>
      <c r="AK40" s="23">
        <f t="shared" si="46"/>
        <v>39.650784753363226</v>
      </c>
      <c r="AL40" s="23">
        <f t="shared" si="47"/>
        <v>99.126961883408057</v>
      </c>
      <c r="AM40" s="23">
        <f t="shared" si="48"/>
        <v>0</v>
      </c>
      <c r="AN40" s="23">
        <f t="shared" si="49"/>
        <v>99.126961883408057</v>
      </c>
      <c r="AQ40" s="32">
        <f t="shared" si="50"/>
        <v>42736</v>
      </c>
      <c r="AR40" s="32">
        <f t="shared" si="51"/>
        <v>42916</v>
      </c>
      <c r="AS40" s="52">
        <v>34</v>
      </c>
      <c r="AT40" s="1">
        <f t="shared" si="52"/>
        <v>181</v>
      </c>
      <c r="AU40" s="1">
        <f t="shared" si="53"/>
        <v>0</v>
      </c>
      <c r="AV40" s="1">
        <f t="shared" si="54"/>
        <v>0</v>
      </c>
      <c r="AW40" s="1">
        <f t="shared" si="55"/>
        <v>0</v>
      </c>
      <c r="AX40" s="1">
        <f t="shared" si="56"/>
        <v>0</v>
      </c>
      <c r="AY40" s="23">
        <f t="shared" si="57"/>
        <v>1</v>
      </c>
      <c r="AZ40" s="23">
        <f t="shared" si="58"/>
        <v>1.1661995515695067</v>
      </c>
      <c r="BA40" s="23">
        <f t="shared" si="59"/>
        <v>39.650784753363226</v>
      </c>
      <c r="BB40" s="23">
        <f t="shared" si="60"/>
        <v>99.126961883408057</v>
      </c>
      <c r="BC40" s="23">
        <f t="shared" si="61"/>
        <v>0</v>
      </c>
      <c r="BD40" s="23">
        <f t="shared" si="62"/>
        <v>99.126961883408057</v>
      </c>
    </row>
    <row r="41" spans="1:56">
      <c r="A41" s="1" t="s">
        <v>20</v>
      </c>
      <c r="B41" s="1" t="s">
        <v>28</v>
      </c>
      <c r="C41" s="1" t="s">
        <v>22</v>
      </c>
      <c r="D41" s="1" t="s">
        <v>29</v>
      </c>
      <c r="E41" s="51" t="s">
        <v>107</v>
      </c>
      <c r="F41" s="51" t="s">
        <v>108</v>
      </c>
      <c r="G41" s="51" t="s">
        <v>109</v>
      </c>
      <c r="H41" s="1" t="s">
        <v>146</v>
      </c>
      <c r="I41" s="1" t="s">
        <v>147</v>
      </c>
      <c r="J41" s="51" t="s">
        <v>148</v>
      </c>
      <c r="K41" s="51" t="s">
        <v>112</v>
      </c>
      <c r="L41" s="51" t="s">
        <v>112</v>
      </c>
      <c r="M41" s="1">
        <v>1984954</v>
      </c>
      <c r="N41" s="50" t="s">
        <v>173</v>
      </c>
      <c r="O41" s="55">
        <f t="shared" si="63"/>
        <v>42128</v>
      </c>
      <c r="P41" s="55">
        <f t="shared" ref="P41:P46" si="64">DATE(2016,12,31)</f>
        <v>42735</v>
      </c>
      <c r="Q41" s="51">
        <v>1520</v>
      </c>
      <c r="S41" s="51">
        <v>2.5</v>
      </c>
      <c r="U41" s="1">
        <f t="shared" si="33"/>
        <v>608</v>
      </c>
      <c r="V41" s="31">
        <f t="shared" si="34"/>
        <v>2.5</v>
      </c>
      <c r="W41" s="31">
        <f t="shared" si="35"/>
        <v>912.5</v>
      </c>
      <c r="X41" s="31">
        <f t="shared" si="36"/>
        <v>1.140625</v>
      </c>
      <c r="AA41" s="32">
        <f t="shared" si="37"/>
        <v>42552</v>
      </c>
      <c r="AB41" s="32">
        <f t="shared" si="38"/>
        <v>42735</v>
      </c>
      <c r="AC41" s="50">
        <v>30</v>
      </c>
      <c r="AD41" s="1">
        <f t="shared" si="39"/>
        <v>0</v>
      </c>
      <c r="AE41" s="1">
        <f t="shared" si="40"/>
        <v>0</v>
      </c>
      <c r="AF41" s="1">
        <f t="shared" si="41"/>
        <v>184</v>
      </c>
      <c r="AG41" s="1">
        <f t="shared" si="42"/>
        <v>0</v>
      </c>
      <c r="AH41" s="1">
        <f t="shared" si="43"/>
        <v>0</v>
      </c>
      <c r="AI41" s="23">
        <f t="shared" si="44"/>
        <v>1</v>
      </c>
      <c r="AJ41" s="23">
        <f t="shared" si="45"/>
        <v>1.140625</v>
      </c>
      <c r="AK41" s="23">
        <f t="shared" si="46"/>
        <v>34.21875</v>
      </c>
      <c r="AL41" s="23">
        <f t="shared" si="47"/>
        <v>85.546875</v>
      </c>
      <c r="AM41" s="23">
        <f t="shared" si="48"/>
        <v>42.7734375</v>
      </c>
      <c r="AN41" s="23">
        <f t="shared" si="49"/>
        <v>128.3203125</v>
      </c>
      <c r="AQ41" s="32">
        <f t="shared" si="50"/>
        <v>42736</v>
      </c>
      <c r="AR41" s="32">
        <f t="shared" si="51"/>
        <v>42916</v>
      </c>
      <c r="AS41" s="50">
        <v>30</v>
      </c>
      <c r="AT41" s="1">
        <f t="shared" si="52"/>
        <v>0</v>
      </c>
      <c r="AU41" s="1">
        <f t="shared" si="53"/>
        <v>0</v>
      </c>
      <c r="AV41" s="1">
        <f t="shared" si="54"/>
        <v>0</v>
      </c>
      <c r="AW41" s="1">
        <f t="shared" si="55"/>
        <v>0</v>
      </c>
      <c r="AX41" s="1">
        <f t="shared" si="56"/>
        <v>90.5</v>
      </c>
      <c r="AY41" s="23">
        <f t="shared" si="57"/>
        <v>0.5</v>
      </c>
      <c r="AZ41" s="23">
        <f t="shared" si="58"/>
        <v>0.5703125</v>
      </c>
      <c r="BA41" s="23">
        <f t="shared" si="59"/>
        <v>8.5546875</v>
      </c>
      <c r="BB41" s="23">
        <f t="shared" si="60"/>
        <v>21.38671875</v>
      </c>
      <c r="BC41" s="23">
        <f t="shared" si="61"/>
        <v>10.693359375</v>
      </c>
      <c r="BD41" s="23">
        <f t="shared" si="62"/>
        <v>32.080078125</v>
      </c>
    </row>
    <row r="42" spans="1:56">
      <c r="A42" s="1" t="s">
        <v>20</v>
      </c>
      <c r="B42" s="1" t="s">
        <v>28</v>
      </c>
      <c r="C42" s="1" t="s">
        <v>22</v>
      </c>
      <c r="D42" s="1" t="s">
        <v>29</v>
      </c>
      <c r="E42" s="51" t="s">
        <v>107</v>
      </c>
      <c r="F42" s="51" t="s">
        <v>108</v>
      </c>
      <c r="G42" s="51" t="s">
        <v>109</v>
      </c>
      <c r="H42" s="1" t="s">
        <v>124</v>
      </c>
      <c r="I42" s="1" t="s">
        <v>125</v>
      </c>
      <c r="J42" s="51" t="s">
        <v>112</v>
      </c>
      <c r="K42" s="51" t="s">
        <v>112</v>
      </c>
      <c r="L42" s="51" t="s">
        <v>112</v>
      </c>
      <c r="M42" s="1">
        <v>1984957</v>
      </c>
      <c r="N42" s="50" t="s">
        <v>174</v>
      </c>
      <c r="O42" s="55">
        <f t="shared" si="63"/>
        <v>42128</v>
      </c>
      <c r="P42" s="55">
        <f t="shared" si="64"/>
        <v>42735</v>
      </c>
      <c r="Q42" s="51">
        <v>1520</v>
      </c>
      <c r="S42" s="51">
        <v>2.5</v>
      </c>
      <c r="U42" s="1">
        <f t="shared" si="33"/>
        <v>608</v>
      </c>
      <c r="V42" s="31">
        <f t="shared" si="34"/>
        <v>2.5</v>
      </c>
      <c r="W42" s="31">
        <f t="shared" si="35"/>
        <v>912.5</v>
      </c>
      <c r="X42" s="31">
        <f t="shared" si="36"/>
        <v>1.140625</v>
      </c>
      <c r="AA42" s="32">
        <f t="shared" si="37"/>
        <v>42552</v>
      </c>
      <c r="AB42" s="32">
        <f t="shared" si="38"/>
        <v>42735</v>
      </c>
      <c r="AC42" s="50">
        <v>29</v>
      </c>
      <c r="AD42" s="1">
        <f t="shared" si="39"/>
        <v>0</v>
      </c>
      <c r="AE42" s="1">
        <f t="shared" si="40"/>
        <v>0</v>
      </c>
      <c r="AF42" s="1">
        <f t="shared" si="41"/>
        <v>184</v>
      </c>
      <c r="AG42" s="1">
        <f t="shared" si="42"/>
        <v>0</v>
      </c>
      <c r="AH42" s="1">
        <f t="shared" si="43"/>
        <v>0</v>
      </c>
      <c r="AI42" s="23">
        <f t="shared" si="44"/>
        <v>1</v>
      </c>
      <c r="AJ42" s="23">
        <f t="shared" si="45"/>
        <v>1.140625</v>
      </c>
      <c r="AK42" s="23">
        <f t="shared" si="46"/>
        <v>33.078125</v>
      </c>
      <c r="AL42" s="23">
        <f t="shared" si="47"/>
        <v>82.6953125</v>
      </c>
      <c r="AM42" s="23">
        <f t="shared" si="48"/>
        <v>0</v>
      </c>
      <c r="AN42" s="23">
        <f t="shared" si="49"/>
        <v>82.6953125</v>
      </c>
      <c r="AQ42" s="32">
        <f t="shared" si="50"/>
        <v>42736</v>
      </c>
      <c r="AR42" s="32">
        <f t="shared" si="51"/>
        <v>42916</v>
      </c>
      <c r="AS42" s="50">
        <v>28</v>
      </c>
      <c r="AT42" s="1">
        <f t="shared" si="52"/>
        <v>0</v>
      </c>
      <c r="AU42" s="1">
        <f t="shared" si="53"/>
        <v>0</v>
      </c>
      <c r="AV42" s="1">
        <f t="shared" si="54"/>
        <v>0</v>
      </c>
      <c r="AW42" s="1">
        <f t="shared" si="55"/>
        <v>0</v>
      </c>
      <c r="AX42" s="1">
        <f t="shared" si="56"/>
        <v>90.5</v>
      </c>
      <c r="AY42" s="23">
        <f t="shared" si="57"/>
        <v>0.5</v>
      </c>
      <c r="AZ42" s="23">
        <f t="shared" si="58"/>
        <v>0.5703125</v>
      </c>
      <c r="BA42" s="23">
        <f t="shared" si="59"/>
        <v>7.984375</v>
      </c>
      <c r="BB42" s="23">
        <f t="shared" si="60"/>
        <v>19.9609375</v>
      </c>
      <c r="BC42" s="23">
        <f t="shared" si="61"/>
        <v>0</v>
      </c>
      <c r="BD42" s="23">
        <f t="shared" si="62"/>
        <v>19.9609375</v>
      </c>
    </row>
    <row r="43" spans="1:56">
      <c r="A43" s="1" t="s">
        <v>20</v>
      </c>
      <c r="B43" s="1" t="s">
        <v>28</v>
      </c>
      <c r="C43" s="1" t="s">
        <v>22</v>
      </c>
      <c r="D43" s="1" t="s">
        <v>29</v>
      </c>
      <c r="E43" s="51" t="s">
        <v>107</v>
      </c>
      <c r="F43" s="51" t="s">
        <v>108</v>
      </c>
      <c r="G43" s="51" t="s">
        <v>109</v>
      </c>
      <c r="H43" s="1" t="s">
        <v>175</v>
      </c>
      <c r="I43" s="1" t="s">
        <v>147</v>
      </c>
      <c r="J43" s="51" t="s">
        <v>148</v>
      </c>
      <c r="K43" s="51" t="s">
        <v>112</v>
      </c>
      <c r="L43" s="51" t="s">
        <v>112</v>
      </c>
      <c r="M43" s="1">
        <v>1984963</v>
      </c>
      <c r="N43" s="50" t="s">
        <v>176</v>
      </c>
      <c r="O43" s="55">
        <f t="shared" si="63"/>
        <v>42128</v>
      </c>
      <c r="P43" s="55">
        <f t="shared" si="64"/>
        <v>42735</v>
      </c>
      <c r="Q43" s="51">
        <v>1540</v>
      </c>
      <c r="S43" s="51">
        <v>2.5</v>
      </c>
      <c r="U43" s="1">
        <f t="shared" si="33"/>
        <v>608</v>
      </c>
      <c r="V43" s="31">
        <f t="shared" si="34"/>
        <v>2.5328947368421053</v>
      </c>
      <c r="W43" s="31">
        <f t="shared" si="35"/>
        <v>924.50657894736844</v>
      </c>
      <c r="X43" s="31">
        <f t="shared" si="36"/>
        <v>1.1556332236842106</v>
      </c>
      <c r="AA43" s="32">
        <f t="shared" si="37"/>
        <v>42552</v>
      </c>
      <c r="AB43" s="32">
        <f t="shared" si="38"/>
        <v>42735</v>
      </c>
      <c r="AC43" s="50">
        <v>29</v>
      </c>
      <c r="AD43" s="1">
        <f t="shared" si="39"/>
        <v>0</v>
      </c>
      <c r="AE43" s="1">
        <f t="shared" si="40"/>
        <v>0</v>
      </c>
      <c r="AF43" s="1">
        <f t="shared" si="41"/>
        <v>184</v>
      </c>
      <c r="AG43" s="1">
        <f t="shared" si="42"/>
        <v>0</v>
      </c>
      <c r="AH43" s="1">
        <f t="shared" si="43"/>
        <v>0</v>
      </c>
      <c r="AI43" s="23">
        <f t="shared" si="44"/>
        <v>1</v>
      </c>
      <c r="AJ43" s="23">
        <f t="shared" si="45"/>
        <v>1.1556332236842106</v>
      </c>
      <c r="AK43" s="23">
        <f t="shared" si="46"/>
        <v>33.51336348684211</v>
      </c>
      <c r="AL43" s="23">
        <f t="shared" si="47"/>
        <v>83.783408717105274</v>
      </c>
      <c r="AM43" s="23">
        <f t="shared" si="48"/>
        <v>41.891704358552637</v>
      </c>
      <c r="AN43" s="23">
        <f t="shared" si="49"/>
        <v>125.67511307565792</v>
      </c>
      <c r="AQ43" s="32">
        <f t="shared" si="50"/>
        <v>42736</v>
      </c>
      <c r="AR43" s="32">
        <f t="shared" si="51"/>
        <v>42916</v>
      </c>
      <c r="AS43" s="50">
        <v>29</v>
      </c>
      <c r="AT43" s="1">
        <f t="shared" si="52"/>
        <v>0</v>
      </c>
      <c r="AU43" s="1">
        <f t="shared" si="53"/>
        <v>0</v>
      </c>
      <c r="AV43" s="1">
        <f t="shared" si="54"/>
        <v>0</v>
      </c>
      <c r="AW43" s="1">
        <f t="shared" si="55"/>
        <v>0</v>
      </c>
      <c r="AX43" s="1">
        <f t="shared" si="56"/>
        <v>90.5</v>
      </c>
      <c r="AY43" s="23">
        <f t="shared" si="57"/>
        <v>0.5</v>
      </c>
      <c r="AZ43" s="23">
        <f t="shared" si="58"/>
        <v>0.57781661184210531</v>
      </c>
      <c r="BA43" s="23">
        <f t="shared" si="59"/>
        <v>8.3783408717105274</v>
      </c>
      <c r="BB43" s="23">
        <f t="shared" si="60"/>
        <v>20.945852179276319</v>
      </c>
      <c r="BC43" s="23">
        <f t="shared" si="61"/>
        <v>10.472926089638159</v>
      </c>
      <c r="BD43" s="23">
        <f t="shared" si="62"/>
        <v>31.41877826891448</v>
      </c>
    </row>
    <row r="44" spans="1:56">
      <c r="A44" s="1" t="s">
        <v>20</v>
      </c>
      <c r="B44" s="1" t="s">
        <v>28</v>
      </c>
      <c r="C44" s="1" t="s">
        <v>22</v>
      </c>
      <c r="D44" s="1" t="s">
        <v>29</v>
      </c>
      <c r="E44" s="51" t="s">
        <v>107</v>
      </c>
      <c r="F44" s="51" t="s">
        <v>108</v>
      </c>
      <c r="G44" s="51" t="s">
        <v>109</v>
      </c>
      <c r="H44" s="1" t="s">
        <v>161</v>
      </c>
      <c r="I44" s="1" t="s">
        <v>131</v>
      </c>
      <c r="J44" s="51" t="s">
        <v>112</v>
      </c>
      <c r="K44" s="51" t="s">
        <v>112</v>
      </c>
      <c r="L44" s="51" t="s">
        <v>112</v>
      </c>
      <c r="M44" s="1">
        <v>1984964</v>
      </c>
      <c r="N44" s="50" t="s">
        <v>177</v>
      </c>
      <c r="O44" s="55">
        <f t="shared" si="63"/>
        <v>42128</v>
      </c>
      <c r="P44" s="55">
        <f t="shared" si="64"/>
        <v>42735</v>
      </c>
      <c r="Q44" s="51">
        <v>1480</v>
      </c>
      <c r="S44" s="51">
        <v>2.5</v>
      </c>
      <c r="U44" s="1">
        <f t="shared" si="33"/>
        <v>608</v>
      </c>
      <c r="V44" s="31">
        <f t="shared" si="34"/>
        <v>2.4342105263157894</v>
      </c>
      <c r="W44" s="31">
        <f t="shared" si="35"/>
        <v>888.48684210526312</v>
      </c>
      <c r="X44" s="31">
        <f t="shared" si="36"/>
        <v>1.110608552631579</v>
      </c>
      <c r="AA44" s="32">
        <f t="shared" si="37"/>
        <v>42552</v>
      </c>
      <c r="AB44" s="32">
        <f t="shared" si="38"/>
        <v>42735</v>
      </c>
      <c r="AC44" s="50">
        <v>27</v>
      </c>
      <c r="AD44" s="1">
        <f t="shared" si="39"/>
        <v>0</v>
      </c>
      <c r="AE44" s="1">
        <f t="shared" si="40"/>
        <v>0</v>
      </c>
      <c r="AF44" s="1">
        <f t="shared" si="41"/>
        <v>184</v>
      </c>
      <c r="AG44" s="1">
        <f t="shared" si="42"/>
        <v>0</v>
      </c>
      <c r="AH44" s="1">
        <f t="shared" si="43"/>
        <v>0</v>
      </c>
      <c r="AI44" s="23">
        <f t="shared" si="44"/>
        <v>1</v>
      </c>
      <c r="AJ44" s="23">
        <f t="shared" si="45"/>
        <v>1.110608552631579</v>
      </c>
      <c r="AK44" s="23">
        <f t="shared" si="46"/>
        <v>29.986430921052634</v>
      </c>
      <c r="AL44" s="23">
        <f t="shared" si="47"/>
        <v>74.966077302631589</v>
      </c>
      <c r="AM44" s="23">
        <f t="shared" si="48"/>
        <v>0</v>
      </c>
      <c r="AN44" s="23">
        <f t="shared" si="49"/>
        <v>74.966077302631589</v>
      </c>
      <c r="AQ44" s="32">
        <f t="shared" si="50"/>
        <v>42736</v>
      </c>
      <c r="AR44" s="32">
        <f t="shared" si="51"/>
        <v>42916</v>
      </c>
      <c r="AS44" s="50">
        <v>27</v>
      </c>
      <c r="AT44" s="1">
        <f t="shared" si="52"/>
        <v>0</v>
      </c>
      <c r="AU44" s="1">
        <f t="shared" si="53"/>
        <v>0</v>
      </c>
      <c r="AV44" s="1">
        <f t="shared" si="54"/>
        <v>0</v>
      </c>
      <c r="AW44" s="1">
        <f t="shared" si="55"/>
        <v>0</v>
      </c>
      <c r="AX44" s="1">
        <f t="shared" si="56"/>
        <v>90.5</v>
      </c>
      <c r="AY44" s="23">
        <f t="shared" si="57"/>
        <v>0.5</v>
      </c>
      <c r="AZ44" s="23">
        <f t="shared" si="58"/>
        <v>0.55530427631578949</v>
      </c>
      <c r="BA44" s="23">
        <f t="shared" si="59"/>
        <v>7.4966077302631584</v>
      </c>
      <c r="BB44" s="23">
        <f t="shared" si="60"/>
        <v>18.741519325657897</v>
      </c>
      <c r="BC44" s="23">
        <f t="shared" si="61"/>
        <v>0</v>
      </c>
      <c r="BD44" s="23">
        <f t="shared" si="62"/>
        <v>18.741519325657897</v>
      </c>
    </row>
    <row r="45" spans="1:56">
      <c r="A45" s="1" t="s">
        <v>20</v>
      </c>
      <c r="B45" s="1" t="s">
        <v>28</v>
      </c>
      <c r="C45" s="1" t="s">
        <v>22</v>
      </c>
      <c r="D45" s="1" t="s">
        <v>29</v>
      </c>
      <c r="E45" s="51" t="s">
        <v>107</v>
      </c>
      <c r="F45" s="51" t="s">
        <v>108</v>
      </c>
      <c r="G45" s="51" t="s">
        <v>109</v>
      </c>
      <c r="H45" s="1" t="s">
        <v>136</v>
      </c>
      <c r="I45" s="1" t="s">
        <v>131</v>
      </c>
      <c r="J45" s="51" t="s">
        <v>112</v>
      </c>
      <c r="K45" s="51" t="s">
        <v>112</v>
      </c>
      <c r="L45" s="51" t="s">
        <v>112</v>
      </c>
      <c r="M45" s="1">
        <v>1984966</v>
      </c>
      <c r="N45" s="50" t="s">
        <v>178</v>
      </c>
      <c r="O45" s="55">
        <f t="shared" si="63"/>
        <v>42128</v>
      </c>
      <c r="P45" s="55">
        <f t="shared" si="64"/>
        <v>42735</v>
      </c>
      <c r="Q45" s="51">
        <v>1220</v>
      </c>
      <c r="S45" s="51">
        <v>1</v>
      </c>
      <c r="U45" s="1">
        <f t="shared" si="33"/>
        <v>608</v>
      </c>
      <c r="V45" s="31">
        <f t="shared" si="34"/>
        <v>2.0065789473684212</v>
      </c>
      <c r="W45" s="31">
        <f t="shared" si="35"/>
        <v>732.40131578947376</v>
      </c>
      <c r="X45" s="31">
        <f t="shared" si="36"/>
        <v>0.91550164473684215</v>
      </c>
      <c r="AA45" s="32">
        <f t="shared" si="37"/>
        <v>42552</v>
      </c>
      <c r="AB45" s="32">
        <f t="shared" si="38"/>
        <v>42735</v>
      </c>
      <c r="AC45" s="50">
        <v>25</v>
      </c>
      <c r="AD45" s="1">
        <f t="shared" si="39"/>
        <v>0</v>
      </c>
      <c r="AE45" s="1">
        <f t="shared" si="40"/>
        <v>0</v>
      </c>
      <c r="AF45" s="1">
        <f t="shared" si="41"/>
        <v>184</v>
      </c>
      <c r="AG45" s="1">
        <f t="shared" si="42"/>
        <v>0</v>
      </c>
      <c r="AH45" s="1">
        <f t="shared" si="43"/>
        <v>0</v>
      </c>
      <c r="AI45" s="23">
        <f t="shared" si="44"/>
        <v>1</v>
      </c>
      <c r="AJ45" s="23">
        <f t="shared" si="45"/>
        <v>0.91550164473684215</v>
      </c>
      <c r="AK45" s="23">
        <f t="shared" si="46"/>
        <v>22.887541118421055</v>
      </c>
      <c r="AL45" s="23">
        <f t="shared" si="47"/>
        <v>22.887541118421055</v>
      </c>
      <c r="AM45" s="23">
        <f t="shared" si="48"/>
        <v>0</v>
      </c>
      <c r="AN45" s="23">
        <f t="shared" si="49"/>
        <v>22.887541118421055</v>
      </c>
      <c r="AQ45" s="32">
        <f t="shared" si="50"/>
        <v>42736</v>
      </c>
      <c r="AR45" s="32">
        <f t="shared" si="51"/>
        <v>42916</v>
      </c>
      <c r="AS45" s="50">
        <v>23</v>
      </c>
      <c r="AT45" s="1">
        <f t="shared" si="52"/>
        <v>0</v>
      </c>
      <c r="AU45" s="1">
        <f t="shared" si="53"/>
        <v>0</v>
      </c>
      <c r="AV45" s="1">
        <f t="shared" si="54"/>
        <v>0</v>
      </c>
      <c r="AW45" s="1">
        <f t="shared" si="55"/>
        <v>0</v>
      </c>
      <c r="AX45" s="1">
        <f t="shared" si="56"/>
        <v>90.5</v>
      </c>
      <c r="AY45" s="23">
        <f t="shared" si="57"/>
        <v>0.5</v>
      </c>
      <c r="AZ45" s="23">
        <f t="shared" si="58"/>
        <v>0.45775082236842107</v>
      </c>
      <c r="BA45" s="23">
        <f t="shared" si="59"/>
        <v>5.2641344572368425</v>
      </c>
      <c r="BB45" s="23">
        <f t="shared" si="60"/>
        <v>5.2641344572368425</v>
      </c>
      <c r="BC45" s="23">
        <f t="shared" si="61"/>
        <v>0</v>
      </c>
      <c r="BD45" s="23">
        <f t="shared" si="62"/>
        <v>5.2641344572368425</v>
      </c>
    </row>
    <row r="46" spans="1:56">
      <c r="A46" s="1" t="s">
        <v>20</v>
      </c>
      <c r="B46" s="1" t="s">
        <v>28</v>
      </c>
      <c r="C46" s="1" t="s">
        <v>22</v>
      </c>
      <c r="D46" s="1" t="s">
        <v>29</v>
      </c>
      <c r="E46" s="51" t="s">
        <v>107</v>
      </c>
      <c r="F46" s="51" t="s">
        <v>108</v>
      </c>
      <c r="G46" s="51" t="s">
        <v>109</v>
      </c>
      <c r="H46" s="1" t="s">
        <v>179</v>
      </c>
      <c r="I46" s="1" t="s">
        <v>125</v>
      </c>
      <c r="J46" s="51" t="s">
        <v>112</v>
      </c>
      <c r="K46" s="51" t="s">
        <v>112</v>
      </c>
      <c r="L46" s="51" t="s">
        <v>112</v>
      </c>
      <c r="M46" s="1">
        <v>1984968</v>
      </c>
      <c r="N46" s="50" t="s">
        <v>180</v>
      </c>
      <c r="O46" s="55">
        <f t="shared" si="63"/>
        <v>42128</v>
      </c>
      <c r="P46" s="55">
        <f t="shared" si="64"/>
        <v>42735</v>
      </c>
      <c r="Q46" s="51">
        <v>1600</v>
      </c>
      <c r="S46" s="51">
        <v>2</v>
      </c>
      <c r="U46" s="1">
        <f t="shared" si="33"/>
        <v>608</v>
      </c>
      <c r="V46" s="31">
        <f t="shared" si="34"/>
        <v>2.6315789473684212</v>
      </c>
      <c r="W46" s="31">
        <f t="shared" si="35"/>
        <v>960.52631578947376</v>
      </c>
      <c r="X46" s="31">
        <f t="shared" si="36"/>
        <v>1.2006578947368423</v>
      </c>
      <c r="AA46" s="32">
        <f t="shared" si="37"/>
        <v>42552</v>
      </c>
      <c r="AB46" s="32">
        <f t="shared" si="38"/>
        <v>42735</v>
      </c>
      <c r="AC46" s="50">
        <v>57</v>
      </c>
      <c r="AD46" s="1">
        <f t="shared" si="39"/>
        <v>0</v>
      </c>
      <c r="AE46" s="1">
        <f t="shared" si="40"/>
        <v>0</v>
      </c>
      <c r="AF46" s="1">
        <f t="shared" si="41"/>
        <v>184</v>
      </c>
      <c r="AG46" s="1">
        <f t="shared" si="42"/>
        <v>0</v>
      </c>
      <c r="AH46" s="1">
        <f t="shared" si="43"/>
        <v>0</v>
      </c>
      <c r="AI46" s="23">
        <f t="shared" si="44"/>
        <v>1</v>
      </c>
      <c r="AJ46" s="23">
        <f t="shared" si="45"/>
        <v>1.2006578947368423</v>
      </c>
      <c r="AK46" s="23">
        <f t="shared" si="46"/>
        <v>68.437500000000014</v>
      </c>
      <c r="AL46" s="23">
        <f t="shared" si="47"/>
        <v>136.87500000000003</v>
      </c>
      <c r="AM46" s="23">
        <f t="shared" si="48"/>
        <v>0</v>
      </c>
      <c r="AN46" s="23">
        <f t="shared" si="49"/>
        <v>136.87500000000003</v>
      </c>
      <c r="AQ46" s="32">
        <f t="shared" si="50"/>
        <v>42736</v>
      </c>
      <c r="AR46" s="32">
        <f t="shared" si="51"/>
        <v>42916</v>
      </c>
      <c r="AS46" s="50">
        <v>57</v>
      </c>
      <c r="AT46" s="1">
        <f t="shared" si="52"/>
        <v>0</v>
      </c>
      <c r="AU46" s="1">
        <f t="shared" si="53"/>
        <v>0</v>
      </c>
      <c r="AV46" s="1">
        <f t="shared" si="54"/>
        <v>0</v>
      </c>
      <c r="AW46" s="1">
        <f t="shared" si="55"/>
        <v>0</v>
      </c>
      <c r="AX46" s="1">
        <f t="shared" si="56"/>
        <v>90.5</v>
      </c>
      <c r="AY46" s="23">
        <f t="shared" si="57"/>
        <v>0.5</v>
      </c>
      <c r="AZ46" s="23">
        <f t="shared" si="58"/>
        <v>0.60032894736842113</v>
      </c>
      <c r="BA46" s="23">
        <f t="shared" si="59"/>
        <v>17.109375000000004</v>
      </c>
      <c r="BB46" s="23">
        <f t="shared" si="60"/>
        <v>34.218750000000007</v>
      </c>
      <c r="BC46" s="23">
        <f t="shared" si="61"/>
        <v>0</v>
      </c>
      <c r="BD46" s="23">
        <f t="shared" si="62"/>
        <v>34.218750000000007</v>
      </c>
    </row>
    <row r="47" spans="1:56">
      <c r="A47" s="1" t="s">
        <v>20</v>
      </c>
      <c r="B47" s="1" t="s">
        <v>28</v>
      </c>
      <c r="C47" s="1" t="s">
        <v>22</v>
      </c>
      <c r="D47" s="1" t="s">
        <v>29</v>
      </c>
      <c r="E47" s="51" t="s">
        <v>107</v>
      </c>
      <c r="F47" s="51" t="s">
        <v>108</v>
      </c>
      <c r="G47" s="51" t="s">
        <v>109</v>
      </c>
      <c r="H47" s="1" t="s">
        <v>110</v>
      </c>
      <c r="I47" s="1" t="s">
        <v>111</v>
      </c>
      <c r="J47" s="51" t="s">
        <v>112</v>
      </c>
      <c r="K47" s="51" t="s">
        <v>112</v>
      </c>
      <c r="L47" s="51" t="s">
        <v>112</v>
      </c>
      <c r="M47" s="1">
        <v>1984969</v>
      </c>
      <c r="N47" s="52" t="s">
        <v>181</v>
      </c>
      <c r="O47" s="55">
        <f t="shared" si="63"/>
        <v>42128</v>
      </c>
      <c r="P47" s="55">
        <f>DATE(2019,12,31)</f>
        <v>43830</v>
      </c>
      <c r="Q47" s="51">
        <v>4040</v>
      </c>
      <c r="S47" s="51">
        <v>2</v>
      </c>
      <c r="U47" s="1">
        <f t="shared" si="33"/>
        <v>1703</v>
      </c>
      <c r="V47" s="31">
        <f t="shared" si="34"/>
        <v>2.3722842043452732</v>
      </c>
      <c r="W47" s="31">
        <f t="shared" si="35"/>
        <v>865.88373458602473</v>
      </c>
      <c r="X47" s="31">
        <f t="shared" si="36"/>
        <v>1.0823546682325309</v>
      </c>
      <c r="AA47" s="32">
        <f t="shared" si="37"/>
        <v>42552</v>
      </c>
      <c r="AB47" s="32">
        <f t="shared" si="38"/>
        <v>42735</v>
      </c>
      <c r="AC47" s="52">
        <v>66</v>
      </c>
      <c r="AD47" s="1">
        <f t="shared" si="39"/>
        <v>184</v>
      </c>
      <c r="AE47" s="1">
        <f t="shared" si="40"/>
        <v>0</v>
      </c>
      <c r="AF47" s="1">
        <f t="shared" si="41"/>
        <v>0</v>
      </c>
      <c r="AG47" s="1">
        <f t="shared" si="42"/>
        <v>0</v>
      </c>
      <c r="AH47" s="1">
        <f t="shared" si="43"/>
        <v>0</v>
      </c>
      <c r="AI47" s="23">
        <f t="shared" si="44"/>
        <v>1</v>
      </c>
      <c r="AJ47" s="23">
        <f t="shared" si="45"/>
        <v>1.0823546682325309</v>
      </c>
      <c r="AK47" s="23">
        <f t="shared" si="46"/>
        <v>71.435408103347044</v>
      </c>
      <c r="AL47" s="23">
        <f t="shared" si="47"/>
        <v>142.87081620669409</v>
      </c>
      <c r="AM47" s="23">
        <f t="shared" si="48"/>
        <v>0</v>
      </c>
      <c r="AN47" s="23">
        <f t="shared" si="49"/>
        <v>142.87081620669409</v>
      </c>
      <c r="AQ47" s="32">
        <f t="shared" si="50"/>
        <v>42736</v>
      </c>
      <c r="AR47" s="32">
        <f t="shared" si="51"/>
        <v>42916</v>
      </c>
      <c r="AS47" s="52">
        <v>65</v>
      </c>
      <c r="AT47" s="1">
        <f t="shared" si="52"/>
        <v>181</v>
      </c>
      <c r="AU47" s="1">
        <f t="shared" si="53"/>
        <v>0</v>
      </c>
      <c r="AV47" s="1">
        <f t="shared" si="54"/>
        <v>0</v>
      </c>
      <c r="AW47" s="1">
        <f t="shared" si="55"/>
        <v>0</v>
      </c>
      <c r="AX47" s="1">
        <f t="shared" si="56"/>
        <v>0</v>
      </c>
      <c r="AY47" s="23">
        <f t="shared" si="57"/>
        <v>1</v>
      </c>
      <c r="AZ47" s="23">
        <f t="shared" si="58"/>
        <v>1.0823546682325309</v>
      </c>
      <c r="BA47" s="23">
        <f t="shared" si="59"/>
        <v>70.353053435114504</v>
      </c>
      <c r="BB47" s="23">
        <f t="shared" si="60"/>
        <v>140.70610687022901</v>
      </c>
      <c r="BC47" s="23">
        <f t="shared" si="61"/>
        <v>0</v>
      </c>
      <c r="BD47" s="23">
        <f t="shared" si="62"/>
        <v>140.70610687022901</v>
      </c>
    </row>
    <row r="48" spans="1:56">
      <c r="A48" s="1" t="s">
        <v>20</v>
      </c>
      <c r="B48" s="1" t="s">
        <v>28</v>
      </c>
      <c r="C48" s="1" t="s">
        <v>22</v>
      </c>
      <c r="D48" s="1" t="s">
        <v>29</v>
      </c>
      <c r="E48" s="51" t="s">
        <v>107</v>
      </c>
      <c r="F48" s="51" t="s">
        <v>108</v>
      </c>
      <c r="G48" s="51" t="s">
        <v>109</v>
      </c>
      <c r="H48" s="1" t="s">
        <v>124</v>
      </c>
      <c r="I48" s="1" t="s">
        <v>125</v>
      </c>
      <c r="J48" s="51" t="s">
        <v>112</v>
      </c>
      <c r="K48" s="51" t="s">
        <v>112</v>
      </c>
      <c r="L48" s="51" t="s">
        <v>112</v>
      </c>
      <c r="M48" s="1">
        <v>1984970</v>
      </c>
      <c r="N48" s="52" t="s">
        <v>182</v>
      </c>
      <c r="O48" s="55">
        <f t="shared" si="63"/>
        <v>42128</v>
      </c>
      <c r="P48" s="55">
        <f>DATE(2018,12,31)</f>
        <v>43465</v>
      </c>
      <c r="Q48" s="51">
        <v>4120</v>
      </c>
      <c r="S48" s="51">
        <v>2.5</v>
      </c>
      <c r="U48" s="1">
        <f t="shared" si="33"/>
        <v>1338</v>
      </c>
      <c r="V48" s="31">
        <f t="shared" si="34"/>
        <v>3.079222720478326</v>
      </c>
      <c r="W48" s="31">
        <f t="shared" si="35"/>
        <v>1123.9162929745889</v>
      </c>
      <c r="X48" s="31">
        <f t="shared" si="36"/>
        <v>1.4048953662182362</v>
      </c>
      <c r="AA48" s="32">
        <f t="shared" si="37"/>
        <v>42552</v>
      </c>
      <c r="AB48" s="32">
        <f t="shared" si="38"/>
        <v>42735</v>
      </c>
      <c r="AC48" s="52">
        <v>54</v>
      </c>
      <c r="AD48" s="1">
        <f t="shared" si="39"/>
        <v>184</v>
      </c>
      <c r="AE48" s="1">
        <f t="shared" si="40"/>
        <v>0</v>
      </c>
      <c r="AF48" s="1">
        <f t="shared" si="41"/>
        <v>0</v>
      </c>
      <c r="AG48" s="1">
        <f t="shared" si="42"/>
        <v>0</v>
      </c>
      <c r="AH48" s="1">
        <f t="shared" si="43"/>
        <v>0</v>
      </c>
      <c r="AI48" s="23">
        <f t="shared" si="44"/>
        <v>1</v>
      </c>
      <c r="AJ48" s="23">
        <f t="shared" si="45"/>
        <v>1.4048953662182362</v>
      </c>
      <c r="AK48" s="23">
        <f t="shared" si="46"/>
        <v>75.86434977578476</v>
      </c>
      <c r="AL48" s="23">
        <f t="shared" si="47"/>
        <v>189.66087443946191</v>
      </c>
      <c r="AM48" s="23">
        <f t="shared" si="48"/>
        <v>0</v>
      </c>
      <c r="AN48" s="23">
        <f t="shared" si="49"/>
        <v>189.66087443946191</v>
      </c>
      <c r="AQ48" s="32">
        <f t="shared" si="50"/>
        <v>42736</v>
      </c>
      <c r="AR48" s="32">
        <f t="shared" si="51"/>
        <v>42916</v>
      </c>
      <c r="AS48" s="52">
        <v>53</v>
      </c>
      <c r="AT48" s="1">
        <f t="shared" si="52"/>
        <v>181</v>
      </c>
      <c r="AU48" s="1">
        <f t="shared" si="53"/>
        <v>0</v>
      </c>
      <c r="AV48" s="1">
        <f t="shared" si="54"/>
        <v>0</v>
      </c>
      <c r="AW48" s="1">
        <f t="shared" si="55"/>
        <v>0</v>
      </c>
      <c r="AX48" s="1">
        <f t="shared" si="56"/>
        <v>0</v>
      </c>
      <c r="AY48" s="23">
        <f t="shared" si="57"/>
        <v>1</v>
      </c>
      <c r="AZ48" s="23">
        <f t="shared" si="58"/>
        <v>1.4048953662182362</v>
      </c>
      <c r="BA48" s="23">
        <f t="shared" si="59"/>
        <v>74.459454409566519</v>
      </c>
      <c r="BB48" s="23">
        <f t="shared" si="60"/>
        <v>186.14863602391631</v>
      </c>
      <c r="BC48" s="23">
        <f t="shared" si="61"/>
        <v>0</v>
      </c>
      <c r="BD48" s="23">
        <f t="shared" si="62"/>
        <v>186.14863602391631</v>
      </c>
    </row>
    <row r="49" spans="1:56">
      <c r="A49" s="1" t="s">
        <v>20</v>
      </c>
      <c r="B49" s="1" t="s">
        <v>28</v>
      </c>
      <c r="C49" s="1" t="s">
        <v>22</v>
      </c>
      <c r="D49" s="1" t="s">
        <v>29</v>
      </c>
      <c r="E49" s="51" t="s">
        <v>107</v>
      </c>
      <c r="F49" s="51" t="s">
        <v>108</v>
      </c>
      <c r="G49" s="51" t="s">
        <v>109</v>
      </c>
      <c r="H49" s="1" t="s">
        <v>127</v>
      </c>
      <c r="I49" s="1" t="s">
        <v>128</v>
      </c>
      <c r="J49" s="51" t="s">
        <v>112</v>
      </c>
      <c r="K49" s="51" t="s">
        <v>112</v>
      </c>
      <c r="L49" s="51" t="s">
        <v>112</v>
      </c>
      <c r="M49" s="1">
        <v>1984971</v>
      </c>
      <c r="N49" s="52" t="s">
        <v>183</v>
      </c>
      <c r="O49" s="55">
        <f t="shared" si="63"/>
        <v>42128</v>
      </c>
      <c r="P49" s="55">
        <f>DATE(2018,12,31)</f>
        <v>43465</v>
      </c>
      <c r="Q49" s="51">
        <v>4112</v>
      </c>
      <c r="S49" s="51">
        <v>2.5</v>
      </c>
      <c r="U49" s="1">
        <f t="shared" si="33"/>
        <v>1338</v>
      </c>
      <c r="V49" s="31">
        <f t="shared" si="34"/>
        <v>3.0732436472346785</v>
      </c>
      <c r="W49" s="31">
        <f t="shared" si="35"/>
        <v>1121.7339312406577</v>
      </c>
      <c r="X49" s="31">
        <f t="shared" si="36"/>
        <v>1.4021674140508222</v>
      </c>
      <c r="AA49" s="32">
        <f t="shared" si="37"/>
        <v>42552</v>
      </c>
      <c r="AB49" s="32">
        <f t="shared" si="38"/>
        <v>42735</v>
      </c>
      <c r="AC49" s="52">
        <v>28</v>
      </c>
      <c r="AD49" s="1">
        <f t="shared" si="39"/>
        <v>184</v>
      </c>
      <c r="AE49" s="1">
        <f t="shared" si="40"/>
        <v>0</v>
      </c>
      <c r="AF49" s="1">
        <f t="shared" si="41"/>
        <v>0</v>
      </c>
      <c r="AG49" s="1">
        <f t="shared" si="42"/>
        <v>0</v>
      </c>
      <c r="AH49" s="1">
        <f t="shared" si="43"/>
        <v>0</v>
      </c>
      <c r="AI49" s="23">
        <f t="shared" si="44"/>
        <v>1</v>
      </c>
      <c r="AJ49" s="23">
        <f t="shared" si="45"/>
        <v>1.4021674140508222</v>
      </c>
      <c r="AK49" s="23">
        <f t="shared" si="46"/>
        <v>39.260687593423022</v>
      </c>
      <c r="AL49" s="23">
        <f t="shared" si="47"/>
        <v>98.151718983557558</v>
      </c>
      <c r="AM49" s="23">
        <f t="shared" si="48"/>
        <v>0</v>
      </c>
      <c r="AN49" s="23">
        <f t="shared" si="49"/>
        <v>98.151718983557558</v>
      </c>
      <c r="AQ49" s="32">
        <f t="shared" si="50"/>
        <v>42736</v>
      </c>
      <c r="AR49" s="32">
        <f t="shared" si="51"/>
        <v>42916</v>
      </c>
      <c r="AS49" s="52">
        <v>28</v>
      </c>
      <c r="AT49" s="1">
        <f t="shared" si="52"/>
        <v>181</v>
      </c>
      <c r="AU49" s="1">
        <f t="shared" si="53"/>
        <v>0</v>
      </c>
      <c r="AV49" s="1">
        <f t="shared" si="54"/>
        <v>0</v>
      </c>
      <c r="AW49" s="1">
        <f t="shared" si="55"/>
        <v>0</v>
      </c>
      <c r="AX49" s="1">
        <f t="shared" si="56"/>
        <v>0</v>
      </c>
      <c r="AY49" s="23">
        <f t="shared" si="57"/>
        <v>1</v>
      </c>
      <c r="AZ49" s="23">
        <f t="shared" si="58"/>
        <v>1.4021674140508222</v>
      </c>
      <c r="BA49" s="23">
        <f t="shared" si="59"/>
        <v>39.260687593423022</v>
      </c>
      <c r="BB49" s="23">
        <f t="shared" si="60"/>
        <v>98.151718983557558</v>
      </c>
      <c r="BC49" s="23">
        <f t="shared" si="61"/>
        <v>0</v>
      </c>
      <c r="BD49" s="23">
        <f t="shared" si="62"/>
        <v>98.151718983557558</v>
      </c>
    </row>
    <row r="50" spans="1:56">
      <c r="A50" s="1" t="s">
        <v>20</v>
      </c>
      <c r="B50" s="1" t="s">
        <v>28</v>
      </c>
      <c r="C50" s="1" t="s">
        <v>22</v>
      </c>
      <c r="D50" s="1" t="s">
        <v>29</v>
      </c>
      <c r="E50" s="51" t="s">
        <v>107</v>
      </c>
      <c r="F50" s="51" t="s">
        <v>108</v>
      </c>
      <c r="G50" s="51" t="s">
        <v>109</v>
      </c>
      <c r="H50" s="1" t="s">
        <v>136</v>
      </c>
      <c r="I50" s="1" t="s">
        <v>131</v>
      </c>
      <c r="J50" s="51" t="s">
        <v>112</v>
      </c>
      <c r="K50" s="51" t="s">
        <v>112</v>
      </c>
      <c r="L50" s="51" t="s">
        <v>112</v>
      </c>
      <c r="M50" s="1">
        <v>1989532</v>
      </c>
      <c r="N50" s="52" t="s">
        <v>184</v>
      </c>
      <c r="O50" s="55">
        <f t="shared" si="63"/>
        <v>42128</v>
      </c>
      <c r="P50" s="55">
        <f>DATE(2018,12,31)</f>
        <v>43465</v>
      </c>
      <c r="Q50" s="51">
        <v>4840</v>
      </c>
      <c r="S50" s="51">
        <v>1</v>
      </c>
      <c r="U50" s="1">
        <f t="shared" si="33"/>
        <v>1338</v>
      </c>
      <c r="V50" s="31">
        <f t="shared" si="34"/>
        <v>3.6173393124065769</v>
      </c>
      <c r="W50" s="31">
        <f t="shared" si="35"/>
        <v>1320.3288490284006</v>
      </c>
      <c r="X50" s="31">
        <f t="shared" si="36"/>
        <v>1.6504110612855007</v>
      </c>
      <c r="AA50" s="32">
        <f t="shared" si="37"/>
        <v>42552</v>
      </c>
      <c r="AB50" s="32">
        <f t="shared" si="38"/>
        <v>42735</v>
      </c>
      <c r="AC50" s="52">
        <v>29</v>
      </c>
      <c r="AD50" s="1">
        <f t="shared" si="39"/>
        <v>184</v>
      </c>
      <c r="AE50" s="1">
        <f t="shared" si="40"/>
        <v>0</v>
      </c>
      <c r="AF50" s="1">
        <f t="shared" si="41"/>
        <v>0</v>
      </c>
      <c r="AG50" s="1">
        <f t="shared" si="42"/>
        <v>0</v>
      </c>
      <c r="AH50" s="1">
        <f t="shared" si="43"/>
        <v>0</v>
      </c>
      <c r="AI50" s="23">
        <f t="shared" si="44"/>
        <v>1</v>
      </c>
      <c r="AJ50" s="23">
        <f t="shared" si="45"/>
        <v>1.6504110612855007</v>
      </c>
      <c r="AK50" s="23">
        <f t="shared" si="46"/>
        <v>47.861920777279522</v>
      </c>
      <c r="AL50" s="23">
        <f t="shared" si="47"/>
        <v>47.861920777279522</v>
      </c>
      <c r="AM50" s="23">
        <f t="shared" si="48"/>
        <v>0</v>
      </c>
      <c r="AN50" s="23">
        <f t="shared" si="49"/>
        <v>47.861920777279522</v>
      </c>
      <c r="AQ50" s="32">
        <f t="shared" si="50"/>
        <v>42736</v>
      </c>
      <c r="AR50" s="32">
        <f t="shared" si="51"/>
        <v>42916</v>
      </c>
      <c r="AS50" s="52">
        <v>29</v>
      </c>
      <c r="AT50" s="1">
        <f t="shared" si="52"/>
        <v>181</v>
      </c>
      <c r="AU50" s="1">
        <f t="shared" si="53"/>
        <v>0</v>
      </c>
      <c r="AV50" s="1">
        <f t="shared" si="54"/>
        <v>0</v>
      </c>
      <c r="AW50" s="1">
        <f t="shared" si="55"/>
        <v>0</v>
      </c>
      <c r="AX50" s="1">
        <f t="shared" si="56"/>
        <v>0</v>
      </c>
      <c r="AY50" s="23">
        <f t="shared" si="57"/>
        <v>1</v>
      </c>
      <c r="AZ50" s="23">
        <f t="shared" si="58"/>
        <v>1.6504110612855007</v>
      </c>
      <c r="BA50" s="23">
        <f t="shared" si="59"/>
        <v>47.861920777279522</v>
      </c>
      <c r="BB50" s="23">
        <f t="shared" si="60"/>
        <v>47.861920777279522</v>
      </c>
      <c r="BC50" s="23">
        <f t="shared" si="61"/>
        <v>0</v>
      </c>
      <c r="BD50" s="23">
        <f t="shared" si="62"/>
        <v>47.861920777279522</v>
      </c>
    </row>
    <row r="51" spans="1:56">
      <c r="A51" s="1" t="s">
        <v>20</v>
      </c>
      <c r="B51" s="1" t="s">
        <v>28</v>
      </c>
      <c r="C51" s="1" t="s">
        <v>22</v>
      </c>
      <c r="D51" s="1" t="s">
        <v>29</v>
      </c>
      <c r="E51" s="51" t="s">
        <v>107</v>
      </c>
      <c r="F51" s="51" t="s">
        <v>108</v>
      </c>
      <c r="G51" s="51" t="s">
        <v>109</v>
      </c>
      <c r="H51" s="1" t="s">
        <v>110</v>
      </c>
      <c r="I51" s="1" t="s">
        <v>111</v>
      </c>
      <c r="J51" s="51" t="s">
        <v>112</v>
      </c>
      <c r="K51" s="51" t="s">
        <v>112</v>
      </c>
      <c r="L51" s="51" t="s">
        <v>112</v>
      </c>
      <c r="M51" s="1">
        <v>1989550</v>
      </c>
      <c r="N51" s="51" t="s">
        <v>185</v>
      </c>
      <c r="O51" s="55">
        <f>DATE(2015,8,3)</f>
        <v>42219</v>
      </c>
      <c r="P51" s="55">
        <f>DATE(2017,12,31)</f>
        <v>43100</v>
      </c>
      <c r="Q51" s="51">
        <v>1520</v>
      </c>
      <c r="S51" s="51">
        <v>2</v>
      </c>
      <c r="U51" s="1">
        <f t="shared" si="33"/>
        <v>882</v>
      </c>
      <c r="V51" s="31">
        <f t="shared" si="34"/>
        <v>1.7233560090702948</v>
      </c>
      <c r="W51" s="31">
        <f t="shared" si="35"/>
        <v>629.02494331065759</v>
      </c>
      <c r="X51" s="31">
        <f t="shared" si="36"/>
        <v>0.78628117913832196</v>
      </c>
      <c r="AA51" s="32">
        <f t="shared" si="37"/>
        <v>42552</v>
      </c>
      <c r="AB51" s="32">
        <f t="shared" si="38"/>
        <v>42735</v>
      </c>
      <c r="AC51" s="51">
        <v>31</v>
      </c>
      <c r="AD51" s="1">
        <f t="shared" si="39"/>
        <v>184</v>
      </c>
      <c r="AE51" s="1">
        <f t="shared" si="40"/>
        <v>0</v>
      </c>
      <c r="AF51" s="1">
        <f t="shared" si="41"/>
        <v>0</v>
      </c>
      <c r="AG51" s="1">
        <f t="shared" si="42"/>
        <v>0</v>
      </c>
      <c r="AH51" s="1">
        <f t="shared" si="43"/>
        <v>0</v>
      </c>
      <c r="AI51" s="23">
        <f t="shared" si="44"/>
        <v>1</v>
      </c>
      <c r="AJ51" s="23">
        <f t="shared" si="45"/>
        <v>0.78628117913832196</v>
      </c>
      <c r="AK51" s="23">
        <f t="shared" si="46"/>
        <v>24.374716553287982</v>
      </c>
      <c r="AL51" s="23">
        <f t="shared" si="47"/>
        <v>48.749433106575964</v>
      </c>
      <c r="AM51" s="23">
        <f t="shared" si="48"/>
        <v>0</v>
      </c>
      <c r="AN51" s="23">
        <f t="shared" si="49"/>
        <v>48.749433106575964</v>
      </c>
      <c r="AQ51" s="32">
        <f t="shared" si="50"/>
        <v>42736</v>
      </c>
      <c r="AR51" s="32">
        <f t="shared" si="51"/>
        <v>42916</v>
      </c>
      <c r="AS51" s="51">
        <v>31</v>
      </c>
      <c r="AT51" s="1">
        <f t="shared" si="52"/>
        <v>181</v>
      </c>
      <c r="AU51" s="1">
        <f t="shared" si="53"/>
        <v>0</v>
      </c>
      <c r="AV51" s="1">
        <f t="shared" si="54"/>
        <v>0</v>
      </c>
      <c r="AW51" s="1">
        <f t="shared" si="55"/>
        <v>0</v>
      </c>
      <c r="AX51" s="1">
        <f t="shared" si="56"/>
        <v>0</v>
      </c>
      <c r="AY51" s="23">
        <f t="shared" si="57"/>
        <v>1</v>
      </c>
      <c r="AZ51" s="23">
        <f t="shared" si="58"/>
        <v>0.78628117913832196</v>
      </c>
      <c r="BA51" s="23">
        <f t="shared" si="59"/>
        <v>24.374716553287982</v>
      </c>
      <c r="BB51" s="23">
        <f t="shared" si="60"/>
        <v>48.749433106575964</v>
      </c>
      <c r="BC51" s="23">
        <f t="shared" si="61"/>
        <v>0</v>
      </c>
      <c r="BD51" s="23">
        <f t="shared" si="62"/>
        <v>48.749433106575964</v>
      </c>
    </row>
    <row r="52" spans="1:56">
      <c r="A52" s="1" t="s">
        <v>20</v>
      </c>
      <c r="B52" s="1" t="s">
        <v>28</v>
      </c>
      <c r="C52" s="1" t="s">
        <v>22</v>
      </c>
      <c r="D52" s="1" t="s">
        <v>29</v>
      </c>
      <c r="E52" s="51" t="s">
        <v>107</v>
      </c>
      <c r="F52" s="51" t="s">
        <v>108</v>
      </c>
      <c r="G52" s="51" t="s">
        <v>109</v>
      </c>
      <c r="H52" s="1" t="s">
        <v>136</v>
      </c>
      <c r="I52" s="1" t="s">
        <v>131</v>
      </c>
      <c r="J52" s="51" t="s">
        <v>112</v>
      </c>
      <c r="K52" s="51" t="s">
        <v>112</v>
      </c>
      <c r="L52" s="51" t="s">
        <v>112</v>
      </c>
      <c r="M52" s="1">
        <v>2034234</v>
      </c>
      <c r="N52" s="52" t="s">
        <v>186</v>
      </c>
      <c r="O52" s="55">
        <f t="shared" ref="O52:O63" si="65">DATE(2016,6,16)</f>
        <v>42537</v>
      </c>
      <c r="P52" s="55">
        <f>DATE(2020,12,31)</f>
        <v>44196</v>
      </c>
      <c r="Q52" s="51">
        <v>4840</v>
      </c>
      <c r="S52" s="51">
        <v>1</v>
      </c>
      <c r="U52" s="1">
        <f t="shared" si="33"/>
        <v>1660</v>
      </c>
      <c r="V52" s="31">
        <f t="shared" si="34"/>
        <v>2.9156626506024095</v>
      </c>
      <c r="W52" s="31">
        <f t="shared" si="35"/>
        <v>1064.2168674698794</v>
      </c>
      <c r="X52" s="31">
        <f t="shared" si="36"/>
        <v>1.3302710843373493</v>
      </c>
      <c r="AA52" s="32">
        <f t="shared" si="37"/>
        <v>42552</v>
      </c>
      <c r="AB52" s="32">
        <f t="shared" si="38"/>
        <v>42735</v>
      </c>
      <c r="AC52" s="52">
        <v>40</v>
      </c>
      <c r="AD52" s="1">
        <f t="shared" si="39"/>
        <v>184</v>
      </c>
      <c r="AE52" s="1">
        <f t="shared" si="40"/>
        <v>0</v>
      </c>
      <c r="AF52" s="1">
        <f t="shared" si="41"/>
        <v>0</v>
      </c>
      <c r="AG52" s="1">
        <f t="shared" si="42"/>
        <v>0</v>
      </c>
      <c r="AH52" s="1">
        <f t="shared" si="43"/>
        <v>0</v>
      </c>
      <c r="AI52" s="23">
        <f t="shared" si="44"/>
        <v>1</v>
      </c>
      <c r="AJ52" s="23">
        <f t="shared" si="45"/>
        <v>1.3302710843373493</v>
      </c>
      <c r="AK52" s="23">
        <f t="shared" si="46"/>
        <v>53.210843373493972</v>
      </c>
      <c r="AL52" s="23">
        <f t="shared" si="47"/>
        <v>53.210843373493972</v>
      </c>
      <c r="AM52" s="23">
        <f t="shared" si="48"/>
        <v>0</v>
      </c>
      <c r="AN52" s="23">
        <f t="shared" si="49"/>
        <v>53.210843373493972</v>
      </c>
      <c r="AQ52" s="32">
        <f t="shared" si="50"/>
        <v>42736</v>
      </c>
      <c r="AR52" s="32">
        <f t="shared" si="51"/>
        <v>42916</v>
      </c>
      <c r="AS52" s="52">
        <v>40</v>
      </c>
      <c r="AT52" s="1">
        <f t="shared" si="52"/>
        <v>181</v>
      </c>
      <c r="AU52" s="1">
        <f t="shared" si="53"/>
        <v>0</v>
      </c>
      <c r="AV52" s="1">
        <f t="shared" si="54"/>
        <v>0</v>
      </c>
      <c r="AW52" s="1">
        <f t="shared" si="55"/>
        <v>0</v>
      </c>
      <c r="AX52" s="1">
        <f t="shared" si="56"/>
        <v>0</v>
      </c>
      <c r="AY52" s="23">
        <f t="shared" si="57"/>
        <v>1</v>
      </c>
      <c r="AZ52" s="23">
        <f t="shared" si="58"/>
        <v>1.3302710843373493</v>
      </c>
      <c r="BA52" s="23">
        <f t="shared" si="59"/>
        <v>53.210843373493972</v>
      </c>
      <c r="BB52" s="23">
        <f t="shared" si="60"/>
        <v>53.210843373493972</v>
      </c>
      <c r="BC52" s="23">
        <f t="shared" si="61"/>
        <v>0</v>
      </c>
      <c r="BD52" s="23">
        <f t="shared" si="62"/>
        <v>53.210843373493972</v>
      </c>
    </row>
    <row r="53" spans="1:56">
      <c r="A53" s="1" t="s">
        <v>20</v>
      </c>
      <c r="B53" s="1" t="s">
        <v>28</v>
      </c>
      <c r="C53" s="1" t="s">
        <v>22</v>
      </c>
      <c r="D53" s="1" t="s">
        <v>29</v>
      </c>
      <c r="E53" s="51" t="s">
        <v>107</v>
      </c>
      <c r="F53" s="51" t="s">
        <v>108</v>
      </c>
      <c r="G53" s="51" t="s">
        <v>109</v>
      </c>
      <c r="H53" s="1" t="s">
        <v>110</v>
      </c>
      <c r="I53" s="1" t="s">
        <v>111</v>
      </c>
      <c r="J53" s="51" t="s">
        <v>112</v>
      </c>
      <c r="K53" s="51" t="s">
        <v>112</v>
      </c>
      <c r="L53" s="51" t="s">
        <v>112</v>
      </c>
      <c r="M53" s="1">
        <v>2034375</v>
      </c>
      <c r="N53" s="52" t="s">
        <v>187</v>
      </c>
      <c r="O53" s="55">
        <f t="shared" si="65"/>
        <v>42537</v>
      </c>
      <c r="P53" s="55">
        <f>DATE(2018,12,31)</f>
        <v>43465</v>
      </c>
      <c r="Q53" s="51">
        <v>1520</v>
      </c>
      <c r="S53" s="51">
        <v>2</v>
      </c>
      <c r="U53" s="1">
        <f t="shared" si="33"/>
        <v>929</v>
      </c>
      <c r="V53" s="31">
        <f t="shared" si="34"/>
        <v>1.6361679224973089</v>
      </c>
      <c r="W53" s="31">
        <f t="shared" si="35"/>
        <v>597.2012917115178</v>
      </c>
      <c r="X53" s="31">
        <f t="shared" si="36"/>
        <v>0.74650161463939724</v>
      </c>
      <c r="AA53" s="32">
        <f t="shared" si="37"/>
        <v>42552</v>
      </c>
      <c r="AB53" s="32">
        <f t="shared" si="38"/>
        <v>42735</v>
      </c>
      <c r="AC53" s="52">
        <v>40</v>
      </c>
      <c r="AD53" s="1">
        <f t="shared" si="39"/>
        <v>184</v>
      </c>
      <c r="AE53" s="1">
        <f t="shared" si="40"/>
        <v>0</v>
      </c>
      <c r="AF53" s="1">
        <f t="shared" si="41"/>
        <v>0</v>
      </c>
      <c r="AG53" s="1">
        <f t="shared" si="42"/>
        <v>0</v>
      </c>
      <c r="AH53" s="1">
        <f t="shared" si="43"/>
        <v>0</v>
      </c>
      <c r="AI53" s="23">
        <f t="shared" si="44"/>
        <v>1</v>
      </c>
      <c r="AJ53" s="23">
        <f t="shared" si="45"/>
        <v>0.74650161463939724</v>
      </c>
      <c r="AK53" s="23">
        <f t="shared" si="46"/>
        <v>29.860064585575891</v>
      </c>
      <c r="AL53" s="23">
        <f t="shared" si="47"/>
        <v>59.720129171151783</v>
      </c>
      <c r="AM53" s="23">
        <f t="shared" si="48"/>
        <v>0</v>
      </c>
      <c r="AN53" s="23">
        <f t="shared" si="49"/>
        <v>59.720129171151783</v>
      </c>
      <c r="AQ53" s="32">
        <f t="shared" si="50"/>
        <v>42736</v>
      </c>
      <c r="AR53" s="32">
        <f t="shared" si="51"/>
        <v>42916</v>
      </c>
      <c r="AS53" s="52">
        <v>40</v>
      </c>
      <c r="AT53" s="1">
        <f t="shared" si="52"/>
        <v>181</v>
      </c>
      <c r="AU53" s="1">
        <f t="shared" si="53"/>
        <v>0</v>
      </c>
      <c r="AV53" s="1">
        <f t="shared" si="54"/>
        <v>0</v>
      </c>
      <c r="AW53" s="1">
        <f t="shared" si="55"/>
        <v>0</v>
      </c>
      <c r="AX53" s="1">
        <f t="shared" si="56"/>
        <v>0</v>
      </c>
      <c r="AY53" s="23">
        <f t="shared" si="57"/>
        <v>1</v>
      </c>
      <c r="AZ53" s="23">
        <f t="shared" si="58"/>
        <v>0.74650161463939724</v>
      </c>
      <c r="BA53" s="23">
        <f t="shared" si="59"/>
        <v>29.860064585575891</v>
      </c>
      <c r="BB53" s="23">
        <f t="shared" si="60"/>
        <v>59.720129171151783</v>
      </c>
      <c r="BC53" s="23">
        <f t="shared" si="61"/>
        <v>0</v>
      </c>
      <c r="BD53" s="23">
        <f t="shared" si="62"/>
        <v>59.720129171151783</v>
      </c>
    </row>
    <row r="54" spans="1:56">
      <c r="A54" s="1" t="s">
        <v>20</v>
      </c>
      <c r="B54" s="1" t="s">
        <v>28</v>
      </c>
      <c r="C54" s="1" t="s">
        <v>22</v>
      </c>
      <c r="D54" s="1" t="s">
        <v>29</v>
      </c>
      <c r="E54" s="51" t="s">
        <v>107</v>
      </c>
      <c r="F54" s="51" t="s">
        <v>108</v>
      </c>
      <c r="G54" s="51" t="s">
        <v>109</v>
      </c>
      <c r="H54" s="1" t="s">
        <v>124</v>
      </c>
      <c r="I54" s="1" t="s">
        <v>125</v>
      </c>
      <c r="J54" s="51" t="s">
        <v>112</v>
      </c>
      <c r="K54" s="51" t="s">
        <v>112</v>
      </c>
      <c r="L54" s="51" t="s">
        <v>112</v>
      </c>
      <c r="M54" s="1">
        <v>2034653</v>
      </c>
      <c r="N54" s="52" t="s">
        <v>188</v>
      </c>
      <c r="O54" s="55">
        <f t="shared" si="65"/>
        <v>42537</v>
      </c>
      <c r="P54" s="55">
        <f>DATE(2020,12,31)</f>
        <v>44196</v>
      </c>
      <c r="Q54" s="51">
        <v>4120</v>
      </c>
      <c r="S54" s="51">
        <v>2.5</v>
      </c>
      <c r="U54" s="1">
        <f t="shared" si="33"/>
        <v>1660</v>
      </c>
      <c r="V54" s="31">
        <f t="shared" si="34"/>
        <v>2.4819277108433737</v>
      </c>
      <c r="W54" s="31">
        <f t="shared" si="35"/>
        <v>905.9036144578314</v>
      </c>
      <c r="X54" s="31">
        <f t="shared" si="36"/>
        <v>1.1323795180722893</v>
      </c>
      <c r="AA54" s="32">
        <f t="shared" si="37"/>
        <v>42552</v>
      </c>
      <c r="AB54" s="32">
        <f t="shared" si="38"/>
        <v>42735</v>
      </c>
      <c r="AC54" s="52">
        <v>73</v>
      </c>
      <c r="AD54" s="1">
        <f t="shared" si="39"/>
        <v>184</v>
      </c>
      <c r="AE54" s="1">
        <f t="shared" si="40"/>
        <v>0</v>
      </c>
      <c r="AF54" s="1">
        <f t="shared" si="41"/>
        <v>0</v>
      </c>
      <c r="AG54" s="1">
        <f t="shared" si="42"/>
        <v>0</v>
      </c>
      <c r="AH54" s="1">
        <f t="shared" si="43"/>
        <v>0</v>
      </c>
      <c r="AI54" s="23">
        <f t="shared" si="44"/>
        <v>1</v>
      </c>
      <c r="AJ54" s="23">
        <f t="shared" si="45"/>
        <v>1.1323795180722893</v>
      </c>
      <c r="AK54" s="23">
        <f t="shared" si="46"/>
        <v>82.663704819277115</v>
      </c>
      <c r="AL54" s="23">
        <f t="shared" si="47"/>
        <v>206.65926204819277</v>
      </c>
      <c r="AM54" s="23">
        <f t="shared" si="48"/>
        <v>0</v>
      </c>
      <c r="AN54" s="23">
        <f t="shared" si="49"/>
        <v>206.65926204819277</v>
      </c>
      <c r="AQ54" s="32">
        <f t="shared" si="50"/>
        <v>42736</v>
      </c>
      <c r="AR54" s="32">
        <f t="shared" si="51"/>
        <v>42916</v>
      </c>
      <c r="AS54" s="52">
        <v>73</v>
      </c>
      <c r="AT54" s="1">
        <f t="shared" si="52"/>
        <v>181</v>
      </c>
      <c r="AU54" s="1">
        <f t="shared" si="53"/>
        <v>0</v>
      </c>
      <c r="AV54" s="1">
        <f t="shared" si="54"/>
        <v>0</v>
      </c>
      <c r="AW54" s="1">
        <f t="shared" si="55"/>
        <v>0</v>
      </c>
      <c r="AX54" s="1">
        <f t="shared" si="56"/>
        <v>0</v>
      </c>
      <c r="AY54" s="23">
        <f t="shared" si="57"/>
        <v>1</v>
      </c>
      <c r="AZ54" s="23">
        <f t="shared" si="58"/>
        <v>1.1323795180722893</v>
      </c>
      <c r="BA54" s="23">
        <f t="shared" si="59"/>
        <v>82.663704819277115</v>
      </c>
      <c r="BB54" s="23">
        <f t="shared" si="60"/>
        <v>206.65926204819277</v>
      </c>
      <c r="BC54" s="23">
        <f t="shared" si="61"/>
        <v>0</v>
      </c>
      <c r="BD54" s="23">
        <f t="shared" si="62"/>
        <v>206.65926204819277</v>
      </c>
    </row>
    <row r="55" spans="1:56">
      <c r="A55" s="1" t="s">
        <v>20</v>
      </c>
      <c r="B55" s="1" t="s">
        <v>28</v>
      </c>
      <c r="C55" s="1" t="s">
        <v>22</v>
      </c>
      <c r="D55" s="1" t="s">
        <v>29</v>
      </c>
      <c r="E55" s="51" t="s">
        <v>107</v>
      </c>
      <c r="F55" s="51" t="s">
        <v>108</v>
      </c>
      <c r="G55" s="51" t="s">
        <v>109</v>
      </c>
      <c r="H55" s="1" t="s">
        <v>110</v>
      </c>
      <c r="I55" s="1" t="s">
        <v>111</v>
      </c>
      <c r="J55" s="51" t="s">
        <v>112</v>
      </c>
      <c r="K55" s="51" t="s">
        <v>112</v>
      </c>
      <c r="L55" s="51" t="s">
        <v>112</v>
      </c>
      <c r="M55" s="1">
        <v>2035143</v>
      </c>
      <c r="N55" s="52" t="s">
        <v>189</v>
      </c>
      <c r="O55" s="55">
        <f t="shared" si="65"/>
        <v>42537</v>
      </c>
      <c r="P55" s="55">
        <f>DATE(2020,12,31)</f>
        <v>44196</v>
      </c>
      <c r="Q55" s="51">
        <v>4040</v>
      </c>
      <c r="S55" s="51">
        <v>2</v>
      </c>
      <c r="U55" s="1">
        <f t="shared" si="33"/>
        <v>1660</v>
      </c>
      <c r="V55" s="31">
        <f t="shared" si="34"/>
        <v>2.4337349397590362</v>
      </c>
      <c r="W55" s="31">
        <f t="shared" si="35"/>
        <v>888.31325301204822</v>
      </c>
      <c r="X55" s="31">
        <f t="shared" si="36"/>
        <v>1.1103915662650603</v>
      </c>
      <c r="AA55" s="32">
        <f t="shared" si="37"/>
        <v>42552</v>
      </c>
      <c r="AB55" s="32">
        <f t="shared" si="38"/>
        <v>42735</v>
      </c>
      <c r="AC55" s="52">
        <v>77</v>
      </c>
      <c r="AD55" s="1">
        <f t="shared" si="39"/>
        <v>184</v>
      </c>
      <c r="AE55" s="1">
        <f t="shared" si="40"/>
        <v>0</v>
      </c>
      <c r="AF55" s="1">
        <f t="shared" si="41"/>
        <v>0</v>
      </c>
      <c r="AG55" s="1">
        <f t="shared" si="42"/>
        <v>0</v>
      </c>
      <c r="AH55" s="1">
        <f t="shared" si="43"/>
        <v>0</v>
      </c>
      <c r="AI55" s="23">
        <f t="shared" si="44"/>
        <v>1</v>
      </c>
      <c r="AJ55" s="23">
        <f t="shared" si="45"/>
        <v>1.1103915662650603</v>
      </c>
      <c r="AK55" s="23">
        <f t="shared" si="46"/>
        <v>85.500150602409647</v>
      </c>
      <c r="AL55" s="23">
        <f t="shared" si="47"/>
        <v>171.00030120481929</v>
      </c>
      <c r="AM55" s="23">
        <f t="shared" si="48"/>
        <v>0</v>
      </c>
      <c r="AN55" s="23">
        <f t="shared" si="49"/>
        <v>171.00030120481929</v>
      </c>
      <c r="AQ55" s="32">
        <f t="shared" si="50"/>
        <v>42736</v>
      </c>
      <c r="AR55" s="32">
        <f t="shared" si="51"/>
        <v>42916</v>
      </c>
      <c r="AS55" s="52">
        <v>77</v>
      </c>
      <c r="AT55" s="1">
        <f t="shared" si="52"/>
        <v>181</v>
      </c>
      <c r="AU55" s="1">
        <f t="shared" si="53"/>
        <v>0</v>
      </c>
      <c r="AV55" s="1">
        <f t="shared" si="54"/>
        <v>0</v>
      </c>
      <c r="AW55" s="1">
        <f t="shared" si="55"/>
        <v>0</v>
      </c>
      <c r="AX55" s="1">
        <f t="shared" si="56"/>
        <v>0</v>
      </c>
      <c r="AY55" s="23">
        <f t="shared" si="57"/>
        <v>1</v>
      </c>
      <c r="AZ55" s="23">
        <f t="shared" si="58"/>
        <v>1.1103915662650603</v>
      </c>
      <c r="BA55" s="23">
        <f t="shared" si="59"/>
        <v>85.500150602409647</v>
      </c>
      <c r="BB55" s="23">
        <f t="shared" si="60"/>
        <v>171.00030120481929</v>
      </c>
      <c r="BC55" s="23">
        <f t="shared" si="61"/>
        <v>0</v>
      </c>
      <c r="BD55" s="23">
        <f t="shared" si="62"/>
        <v>171.00030120481929</v>
      </c>
    </row>
    <row r="56" spans="1:56">
      <c r="A56" s="1" t="s">
        <v>20</v>
      </c>
      <c r="B56" s="1" t="s">
        <v>28</v>
      </c>
      <c r="C56" s="1" t="s">
        <v>22</v>
      </c>
      <c r="D56" s="1" t="s">
        <v>29</v>
      </c>
      <c r="E56" s="51" t="s">
        <v>107</v>
      </c>
      <c r="F56" s="51" t="s">
        <v>108</v>
      </c>
      <c r="G56" s="51" t="s">
        <v>109</v>
      </c>
      <c r="H56" s="1" t="s">
        <v>136</v>
      </c>
      <c r="I56" s="1" t="s">
        <v>131</v>
      </c>
      <c r="J56" s="51" t="s">
        <v>112</v>
      </c>
      <c r="K56" s="51" t="s">
        <v>112</v>
      </c>
      <c r="L56" s="51" t="s">
        <v>112</v>
      </c>
      <c r="M56" s="1">
        <v>2035375</v>
      </c>
      <c r="N56" s="52" t="s">
        <v>190</v>
      </c>
      <c r="O56" s="55">
        <f t="shared" si="65"/>
        <v>42537</v>
      </c>
      <c r="P56" s="55">
        <f>DATE(2018,12,31)</f>
        <v>43465</v>
      </c>
      <c r="Q56" s="51">
        <v>1220</v>
      </c>
      <c r="S56" s="51">
        <v>1</v>
      </c>
      <c r="U56" s="1">
        <f t="shared" si="33"/>
        <v>929</v>
      </c>
      <c r="V56" s="31">
        <f t="shared" si="34"/>
        <v>1.3132400430570506</v>
      </c>
      <c r="W56" s="31">
        <f t="shared" si="35"/>
        <v>479.33261571582347</v>
      </c>
      <c r="X56" s="31">
        <f t="shared" si="36"/>
        <v>0.5991657696447793</v>
      </c>
      <c r="AA56" s="32">
        <f t="shared" si="37"/>
        <v>42552</v>
      </c>
      <c r="AB56" s="32">
        <f t="shared" si="38"/>
        <v>42735</v>
      </c>
      <c r="AC56" s="52">
        <v>40</v>
      </c>
      <c r="AD56" s="1">
        <f t="shared" si="39"/>
        <v>184</v>
      </c>
      <c r="AE56" s="1">
        <f t="shared" si="40"/>
        <v>0</v>
      </c>
      <c r="AF56" s="1">
        <f t="shared" si="41"/>
        <v>0</v>
      </c>
      <c r="AG56" s="1">
        <f t="shared" si="42"/>
        <v>0</v>
      </c>
      <c r="AH56" s="1">
        <f t="shared" si="43"/>
        <v>0</v>
      </c>
      <c r="AI56" s="23">
        <f t="shared" si="44"/>
        <v>1</v>
      </c>
      <c r="AJ56" s="23">
        <f t="shared" si="45"/>
        <v>0.5991657696447793</v>
      </c>
      <c r="AK56" s="23">
        <f t="shared" si="46"/>
        <v>23.966630785791171</v>
      </c>
      <c r="AL56" s="23">
        <f t="shared" si="47"/>
        <v>23.966630785791171</v>
      </c>
      <c r="AM56" s="23">
        <f t="shared" si="48"/>
        <v>0</v>
      </c>
      <c r="AN56" s="23">
        <f t="shared" si="49"/>
        <v>23.966630785791171</v>
      </c>
      <c r="AQ56" s="32">
        <f t="shared" si="50"/>
        <v>42736</v>
      </c>
      <c r="AR56" s="32">
        <f t="shared" si="51"/>
        <v>42916</v>
      </c>
      <c r="AS56" s="52">
        <v>40</v>
      </c>
      <c r="AT56" s="1">
        <f t="shared" si="52"/>
        <v>181</v>
      </c>
      <c r="AU56" s="1">
        <f t="shared" si="53"/>
        <v>0</v>
      </c>
      <c r="AV56" s="1">
        <f t="shared" si="54"/>
        <v>0</v>
      </c>
      <c r="AW56" s="1">
        <f t="shared" si="55"/>
        <v>0</v>
      </c>
      <c r="AX56" s="1">
        <f t="shared" si="56"/>
        <v>0</v>
      </c>
      <c r="AY56" s="23">
        <f t="shared" si="57"/>
        <v>1</v>
      </c>
      <c r="AZ56" s="23">
        <f t="shared" si="58"/>
        <v>0.5991657696447793</v>
      </c>
      <c r="BA56" s="23">
        <f t="shared" si="59"/>
        <v>23.966630785791171</v>
      </c>
      <c r="BB56" s="23">
        <f t="shared" si="60"/>
        <v>23.966630785791171</v>
      </c>
      <c r="BC56" s="23">
        <f t="shared" si="61"/>
        <v>0</v>
      </c>
      <c r="BD56" s="23">
        <f t="shared" si="62"/>
        <v>23.966630785791171</v>
      </c>
    </row>
    <row r="57" spans="1:56">
      <c r="A57" s="1" t="s">
        <v>20</v>
      </c>
      <c r="B57" s="1" t="s">
        <v>28</v>
      </c>
      <c r="C57" s="1" t="s">
        <v>22</v>
      </c>
      <c r="D57" s="1" t="s">
        <v>29</v>
      </c>
      <c r="E57" s="51" t="s">
        <v>107</v>
      </c>
      <c r="F57" s="51" t="s">
        <v>108</v>
      </c>
      <c r="G57" s="51" t="s">
        <v>109</v>
      </c>
      <c r="H57" s="1" t="s">
        <v>127</v>
      </c>
      <c r="I57" s="1" t="s">
        <v>128</v>
      </c>
      <c r="J57" s="51" t="s">
        <v>112</v>
      </c>
      <c r="K57" s="51" t="s">
        <v>112</v>
      </c>
      <c r="L57" s="51" t="s">
        <v>112</v>
      </c>
      <c r="M57" s="1">
        <v>2035390</v>
      </c>
      <c r="N57" s="52" t="s">
        <v>191</v>
      </c>
      <c r="O57" s="55">
        <f t="shared" si="65"/>
        <v>42537</v>
      </c>
      <c r="P57" s="55">
        <f>DATE(2020,12,31)</f>
        <v>44196</v>
      </c>
      <c r="Q57" s="51">
        <v>4112</v>
      </c>
      <c r="S57" s="51">
        <v>2.5</v>
      </c>
      <c r="U57" s="1">
        <f t="shared" si="33"/>
        <v>1660</v>
      </c>
      <c r="V57" s="31">
        <f t="shared" si="34"/>
        <v>2.4771084337349398</v>
      </c>
      <c r="W57" s="31">
        <f t="shared" si="35"/>
        <v>904.14457831325308</v>
      </c>
      <c r="X57" s="31">
        <f t="shared" si="36"/>
        <v>1.1301807228915663</v>
      </c>
      <c r="AA57" s="32">
        <f t="shared" si="37"/>
        <v>42552</v>
      </c>
      <c r="AB57" s="32">
        <f t="shared" si="38"/>
        <v>42735</v>
      </c>
      <c r="AC57" s="52">
        <v>38</v>
      </c>
      <c r="AD57" s="1">
        <f t="shared" si="39"/>
        <v>184</v>
      </c>
      <c r="AE57" s="1">
        <f t="shared" si="40"/>
        <v>0</v>
      </c>
      <c r="AF57" s="1">
        <f t="shared" si="41"/>
        <v>0</v>
      </c>
      <c r="AG57" s="1">
        <f t="shared" si="42"/>
        <v>0</v>
      </c>
      <c r="AH57" s="1">
        <f t="shared" si="43"/>
        <v>0</v>
      </c>
      <c r="AI57" s="23">
        <f t="shared" si="44"/>
        <v>1</v>
      </c>
      <c r="AJ57" s="23">
        <f t="shared" si="45"/>
        <v>1.1301807228915663</v>
      </c>
      <c r="AK57" s="23">
        <f t="shared" si="46"/>
        <v>42.946867469879521</v>
      </c>
      <c r="AL57" s="23">
        <f t="shared" si="47"/>
        <v>107.3671686746988</v>
      </c>
      <c r="AM57" s="23">
        <f t="shared" si="48"/>
        <v>0</v>
      </c>
      <c r="AN57" s="23">
        <f t="shared" si="49"/>
        <v>107.3671686746988</v>
      </c>
      <c r="AQ57" s="32">
        <f t="shared" si="50"/>
        <v>42736</v>
      </c>
      <c r="AR57" s="32">
        <f t="shared" si="51"/>
        <v>42916</v>
      </c>
      <c r="AS57" s="52">
        <v>38</v>
      </c>
      <c r="AT57" s="1">
        <f t="shared" si="52"/>
        <v>181</v>
      </c>
      <c r="AU57" s="1">
        <f t="shared" si="53"/>
        <v>0</v>
      </c>
      <c r="AV57" s="1">
        <f t="shared" si="54"/>
        <v>0</v>
      </c>
      <c r="AW57" s="1">
        <f t="shared" si="55"/>
        <v>0</v>
      </c>
      <c r="AX57" s="1">
        <f t="shared" si="56"/>
        <v>0</v>
      </c>
      <c r="AY57" s="23">
        <f t="shared" si="57"/>
        <v>1</v>
      </c>
      <c r="AZ57" s="23">
        <f t="shared" si="58"/>
        <v>1.1301807228915663</v>
      </c>
      <c r="BA57" s="23">
        <f t="shared" si="59"/>
        <v>42.946867469879521</v>
      </c>
      <c r="BB57" s="23">
        <f t="shared" si="60"/>
        <v>107.3671686746988</v>
      </c>
      <c r="BC57" s="23">
        <f t="shared" si="61"/>
        <v>0</v>
      </c>
      <c r="BD57" s="23">
        <f t="shared" si="62"/>
        <v>107.3671686746988</v>
      </c>
    </row>
    <row r="58" spans="1:56">
      <c r="A58" s="1" t="s">
        <v>20</v>
      </c>
      <c r="B58" s="1" t="s">
        <v>28</v>
      </c>
      <c r="C58" s="1" t="s">
        <v>22</v>
      </c>
      <c r="D58" s="1" t="s">
        <v>29</v>
      </c>
      <c r="E58" s="51" t="s">
        <v>107</v>
      </c>
      <c r="F58" s="51" t="s">
        <v>108</v>
      </c>
      <c r="G58" s="51" t="s">
        <v>109</v>
      </c>
      <c r="H58" s="1" t="s">
        <v>179</v>
      </c>
      <c r="I58" s="1" t="s">
        <v>125</v>
      </c>
      <c r="J58" s="51" t="s">
        <v>112</v>
      </c>
      <c r="K58" s="51" t="s">
        <v>112</v>
      </c>
      <c r="L58" s="51" t="s">
        <v>112</v>
      </c>
      <c r="M58" s="1">
        <v>2035689</v>
      </c>
      <c r="N58" s="52" t="s">
        <v>192</v>
      </c>
      <c r="O58" s="55">
        <f t="shared" si="65"/>
        <v>42537</v>
      </c>
      <c r="P58" s="55">
        <f>DATE(2018,12,31)</f>
        <v>43465</v>
      </c>
      <c r="Q58" s="51">
        <v>1600</v>
      </c>
      <c r="S58" s="51">
        <v>2</v>
      </c>
      <c r="U58" s="1">
        <f t="shared" si="33"/>
        <v>929</v>
      </c>
      <c r="V58" s="31">
        <f t="shared" si="34"/>
        <v>1.7222820236813778</v>
      </c>
      <c r="W58" s="31">
        <f t="shared" si="35"/>
        <v>628.63293864370291</v>
      </c>
      <c r="X58" s="31">
        <f t="shared" si="36"/>
        <v>0.78579117330462867</v>
      </c>
      <c r="AA58" s="32">
        <f t="shared" si="37"/>
        <v>42552</v>
      </c>
      <c r="AB58" s="32">
        <f t="shared" si="38"/>
        <v>42735</v>
      </c>
      <c r="AC58" s="52">
        <v>39</v>
      </c>
      <c r="AD58" s="1">
        <f t="shared" si="39"/>
        <v>184</v>
      </c>
      <c r="AE58" s="1">
        <f t="shared" si="40"/>
        <v>0</v>
      </c>
      <c r="AF58" s="1">
        <f t="shared" si="41"/>
        <v>0</v>
      </c>
      <c r="AG58" s="1">
        <f t="shared" si="42"/>
        <v>0</v>
      </c>
      <c r="AH58" s="1">
        <f t="shared" si="43"/>
        <v>0</v>
      </c>
      <c r="AI58" s="23">
        <f t="shared" si="44"/>
        <v>1</v>
      </c>
      <c r="AJ58" s="23">
        <f t="shared" si="45"/>
        <v>0.78579117330462867</v>
      </c>
      <c r="AK58" s="23">
        <f t="shared" si="46"/>
        <v>30.645855758880518</v>
      </c>
      <c r="AL58" s="23">
        <f t="shared" si="47"/>
        <v>61.291711517761037</v>
      </c>
      <c r="AM58" s="23">
        <f t="shared" si="48"/>
        <v>0</v>
      </c>
      <c r="AN58" s="23">
        <f t="shared" si="49"/>
        <v>61.291711517761037</v>
      </c>
      <c r="AQ58" s="32">
        <f t="shared" si="50"/>
        <v>42736</v>
      </c>
      <c r="AR58" s="32">
        <f t="shared" si="51"/>
        <v>42916</v>
      </c>
      <c r="AS58" s="52">
        <v>39</v>
      </c>
      <c r="AT58" s="1">
        <f t="shared" si="52"/>
        <v>181</v>
      </c>
      <c r="AU58" s="1">
        <f t="shared" si="53"/>
        <v>0</v>
      </c>
      <c r="AV58" s="1">
        <f t="shared" si="54"/>
        <v>0</v>
      </c>
      <c r="AW58" s="1">
        <f t="shared" si="55"/>
        <v>0</v>
      </c>
      <c r="AX58" s="1">
        <f t="shared" si="56"/>
        <v>0</v>
      </c>
      <c r="AY58" s="23">
        <f t="shared" si="57"/>
        <v>1</v>
      </c>
      <c r="AZ58" s="23">
        <f t="shared" si="58"/>
        <v>0.78579117330462867</v>
      </c>
      <c r="BA58" s="23">
        <f t="shared" si="59"/>
        <v>30.645855758880518</v>
      </c>
      <c r="BB58" s="23">
        <f t="shared" si="60"/>
        <v>61.291711517761037</v>
      </c>
      <c r="BC58" s="23">
        <f t="shared" si="61"/>
        <v>0</v>
      </c>
      <c r="BD58" s="23">
        <f t="shared" si="62"/>
        <v>61.291711517761037</v>
      </c>
    </row>
    <row r="59" spans="1:56">
      <c r="A59" s="1" t="s">
        <v>20</v>
      </c>
      <c r="B59" s="1" t="s">
        <v>28</v>
      </c>
      <c r="C59" s="1" t="s">
        <v>22</v>
      </c>
      <c r="D59" s="1" t="s">
        <v>29</v>
      </c>
      <c r="E59" s="51" t="s">
        <v>107</v>
      </c>
      <c r="F59" s="51" t="s">
        <v>108</v>
      </c>
      <c r="G59" s="51" t="s">
        <v>109</v>
      </c>
      <c r="H59" s="1" t="s">
        <v>146</v>
      </c>
      <c r="I59" s="1" t="s">
        <v>147</v>
      </c>
      <c r="J59" s="51" t="s">
        <v>148</v>
      </c>
      <c r="K59" s="51" t="s">
        <v>112</v>
      </c>
      <c r="L59" s="51" t="s">
        <v>112</v>
      </c>
      <c r="M59" s="1">
        <v>2035820</v>
      </c>
      <c r="N59" s="52" t="s">
        <v>193</v>
      </c>
      <c r="O59" s="55">
        <f t="shared" si="65"/>
        <v>42537</v>
      </c>
      <c r="P59" s="55">
        <f>DATE(2018,12,31)</f>
        <v>43465</v>
      </c>
      <c r="Q59" s="51">
        <v>1540</v>
      </c>
      <c r="S59" s="51">
        <v>2.5</v>
      </c>
      <c r="U59" s="1">
        <f t="shared" si="33"/>
        <v>929</v>
      </c>
      <c r="V59" s="31">
        <f t="shared" si="34"/>
        <v>1.6576964477933263</v>
      </c>
      <c r="W59" s="31">
        <f t="shared" si="35"/>
        <v>605.0592034445641</v>
      </c>
      <c r="X59" s="31">
        <f t="shared" si="36"/>
        <v>0.75632400430570512</v>
      </c>
      <c r="AA59" s="32">
        <f t="shared" si="37"/>
        <v>42552</v>
      </c>
      <c r="AB59" s="32">
        <f t="shared" si="38"/>
        <v>42735</v>
      </c>
      <c r="AC59" s="52">
        <v>41</v>
      </c>
      <c r="AD59" s="1">
        <f t="shared" si="39"/>
        <v>184</v>
      </c>
      <c r="AE59" s="1">
        <f t="shared" si="40"/>
        <v>0</v>
      </c>
      <c r="AF59" s="1">
        <f t="shared" si="41"/>
        <v>0</v>
      </c>
      <c r="AG59" s="1">
        <f t="shared" si="42"/>
        <v>0</v>
      </c>
      <c r="AH59" s="1">
        <f t="shared" si="43"/>
        <v>0</v>
      </c>
      <c r="AI59" s="23">
        <f t="shared" si="44"/>
        <v>1</v>
      </c>
      <c r="AJ59" s="23">
        <f t="shared" si="45"/>
        <v>0.75632400430570512</v>
      </c>
      <c r="AK59" s="23">
        <f t="shared" si="46"/>
        <v>31.00928417653391</v>
      </c>
      <c r="AL59" s="23">
        <f t="shared" si="47"/>
        <v>77.523210441334783</v>
      </c>
      <c r="AM59" s="23">
        <f t="shared" si="48"/>
        <v>38.761605220667391</v>
      </c>
      <c r="AN59" s="23">
        <f t="shared" si="49"/>
        <v>116.28481566200217</v>
      </c>
      <c r="AQ59" s="32">
        <f t="shared" si="50"/>
        <v>42736</v>
      </c>
      <c r="AR59" s="32">
        <f t="shared" si="51"/>
        <v>42916</v>
      </c>
      <c r="AS59" s="52">
        <v>41</v>
      </c>
      <c r="AT59" s="1">
        <f t="shared" si="52"/>
        <v>181</v>
      </c>
      <c r="AU59" s="1">
        <f t="shared" si="53"/>
        <v>0</v>
      </c>
      <c r="AV59" s="1">
        <f t="shared" si="54"/>
        <v>0</v>
      </c>
      <c r="AW59" s="1">
        <f t="shared" si="55"/>
        <v>0</v>
      </c>
      <c r="AX59" s="1">
        <f t="shared" si="56"/>
        <v>0</v>
      </c>
      <c r="AY59" s="23">
        <f t="shared" si="57"/>
        <v>1</v>
      </c>
      <c r="AZ59" s="23">
        <f t="shared" si="58"/>
        <v>0.75632400430570512</v>
      </c>
      <c r="BA59" s="23">
        <f t="shared" si="59"/>
        <v>31.00928417653391</v>
      </c>
      <c r="BB59" s="23">
        <f t="shared" si="60"/>
        <v>77.523210441334783</v>
      </c>
      <c r="BC59" s="23">
        <f t="shared" si="61"/>
        <v>38.761605220667391</v>
      </c>
      <c r="BD59" s="23">
        <f t="shared" si="62"/>
        <v>116.28481566200217</v>
      </c>
    </row>
    <row r="60" spans="1:56">
      <c r="A60" s="1" t="s">
        <v>20</v>
      </c>
      <c r="B60" s="1" t="s">
        <v>28</v>
      </c>
      <c r="C60" s="1" t="s">
        <v>22</v>
      </c>
      <c r="D60" s="1" t="s">
        <v>29</v>
      </c>
      <c r="E60" s="51" t="s">
        <v>107</v>
      </c>
      <c r="F60" s="51" t="s">
        <v>108</v>
      </c>
      <c r="G60" s="51" t="s">
        <v>109</v>
      </c>
      <c r="H60" s="1" t="s">
        <v>175</v>
      </c>
      <c r="I60" s="1" t="s">
        <v>147</v>
      </c>
      <c r="J60" s="51" t="s">
        <v>148</v>
      </c>
      <c r="K60" s="51" t="s">
        <v>112</v>
      </c>
      <c r="L60" s="51" t="s">
        <v>112</v>
      </c>
      <c r="M60" s="1">
        <v>2035959</v>
      </c>
      <c r="N60" s="52" t="s">
        <v>194</v>
      </c>
      <c r="O60" s="55">
        <f t="shared" si="65"/>
        <v>42537</v>
      </c>
      <c r="P60" s="55">
        <f>DATE(2018,12,31)</f>
        <v>43465</v>
      </c>
      <c r="Q60" s="51">
        <v>1540</v>
      </c>
      <c r="S60" s="51">
        <v>2.5</v>
      </c>
      <c r="U60" s="1">
        <f t="shared" si="33"/>
        <v>929</v>
      </c>
      <c r="V60" s="31">
        <f t="shared" si="34"/>
        <v>1.6576964477933263</v>
      </c>
      <c r="W60" s="31">
        <f t="shared" si="35"/>
        <v>605.0592034445641</v>
      </c>
      <c r="X60" s="31">
        <f t="shared" si="36"/>
        <v>0.75632400430570512</v>
      </c>
      <c r="AA60" s="32">
        <f t="shared" si="37"/>
        <v>42552</v>
      </c>
      <c r="AB60" s="32">
        <f t="shared" si="38"/>
        <v>42735</v>
      </c>
      <c r="AC60" s="52">
        <v>40</v>
      </c>
      <c r="AD60" s="1">
        <f t="shared" si="39"/>
        <v>184</v>
      </c>
      <c r="AE60" s="1">
        <f t="shared" si="40"/>
        <v>0</v>
      </c>
      <c r="AF60" s="1">
        <f t="shared" si="41"/>
        <v>0</v>
      </c>
      <c r="AG60" s="1">
        <f t="shared" si="42"/>
        <v>0</v>
      </c>
      <c r="AH60" s="1">
        <f t="shared" si="43"/>
        <v>0</v>
      </c>
      <c r="AI60" s="23">
        <f t="shared" si="44"/>
        <v>1</v>
      </c>
      <c r="AJ60" s="23">
        <f t="shared" si="45"/>
        <v>0.75632400430570512</v>
      </c>
      <c r="AK60" s="23">
        <f t="shared" si="46"/>
        <v>30.252960172228207</v>
      </c>
      <c r="AL60" s="23">
        <f t="shared" si="47"/>
        <v>75.632400430570513</v>
      </c>
      <c r="AM60" s="23">
        <f t="shared" si="48"/>
        <v>37.816200215285257</v>
      </c>
      <c r="AN60" s="23">
        <f t="shared" si="49"/>
        <v>113.44860064585578</v>
      </c>
      <c r="AQ60" s="32">
        <f t="shared" si="50"/>
        <v>42736</v>
      </c>
      <c r="AR60" s="32">
        <f t="shared" si="51"/>
        <v>42916</v>
      </c>
      <c r="AS60" s="52">
        <v>39</v>
      </c>
      <c r="AT60" s="1">
        <f t="shared" si="52"/>
        <v>181</v>
      </c>
      <c r="AU60" s="1">
        <f t="shared" si="53"/>
        <v>0</v>
      </c>
      <c r="AV60" s="1">
        <f t="shared" si="54"/>
        <v>0</v>
      </c>
      <c r="AW60" s="1">
        <f t="shared" si="55"/>
        <v>0</v>
      </c>
      <c r="AX60" s="1">
        <f t="shared" si="56"/>
        <v>0</v>
      </c>
      <c r="AY60" s="23">
        <f t="shared" si="57"/>
        <v>1</v>
      </c>
      <c r="AZ60" s="23">
        <f t="shared" si="58"/>
        <v>0.75632400430570512</v>
      </c>
      <c r="BA60" s="23">
        <f t="shared" si="59"/>
        <v>29.4966361679225</v>
      </c>
      <c r="BB60" s="23">
        <f t="shared" si="60"/>
        <v>73.741590419806244</v>
      </c>
      <c r="BC60" s="23">
        <f t="shared" si="61"/>
        <v>36.870795209903122</v>
      </c>
      <c r="BD60" s="23">
        <f t="shared" si="62"/>
        <v>110.61238562970937</v>
      </c>
    </row>
    <row r="61" spans="1:56">
      <c r="A61" s="1" t="s">
        <v>20</v>
      </c>
      <c r="B61" s="1" t="s">
        <v>28</v>
      </c>
      <c r="C61" s="1" t="s">
        <v>22</v>
      </c>
      <c r="D61" s="1" t="s">
        <v>29</v>
      </c>
      <c r="E61" s="51" t="s">
        <v>107</v>
      </c>
      <c r="F61" s="51" t="s">
        <v>108</v>
      </c>
      <c r="G61" s="51" t="s">
        <v>109</v>
      </c>
      <c r="H61" s="1" t="s">
        <v>124</v>
      </c>
      <c r="I61" s="1" t="s">
        <v>125</v>
      </c>
      <c r="J61" s="51" t="s">
        <v>112</v>
      </c>
      <c r="K61" s="51" t="s">
        <v>112</v>
      </c>
      <c r="L61" s="51" t="s">
        <v>112</v>
      </c>
      <c r="M61" s="1">
        <v>2036106</v>
      </c>
      <c r="N61" s="52" t="s">
        <v>195</v>
      </c>
      <c r="O61" s="55">
        <f t="shared" si="65"/>
        <v>42537</v>
      </c>
      <c r="P61" s="55">
        <f>DATE(2018,12,31)</f>
        <v>43465</v>
      </c>
      <c r="Q61" s="51">
        <v>1520</v>
      </c>
      <c r="S61" s="51">
        <v>2.5</v>
      </c>
      <c r="U61" s="1">
        <f t="shared" si="33"/>
        <v>929</v>
      </c>
      <c r="V61" s="31">
        <f t="shared" si="34"/>
        <v>1.6361679224973089</v>
      </c>
      <c r="W61" s="31">
        <f t="shared" si="35"/>
        <v>597.2012917115178</v>
      </c>
      <c r="X61" s="31">
        <f t="shared" si="36"/>
        <v>0.74650161463939724</v>
      </c>
      <c r="AA61" s="32">
        <f t="shared" si="37"/>
        <v>42552</v>
      </c>
      <c r="AB61" s="32">
        <f t="shared" si="38"/>
        <v>42735</v>
      </c>
      <c r="AC61" s="52">
        <v>40</v>
      </c>
      <c r="AD61" s="1">
        <f t="shared" si="39"/>
        <v>184</v>
      </c>
      <c r="AE61" s="1">
        <f t="shared" si="40"/>
        <v>0</v>
      </c>
      <c r="AF61" s="1">
        <f t="shared" si="41"/>
        <v>0</v>
      </c>
      <c r="AG61" s="1">
        <f t="shared" si="42"/>
        <v>0</v>
      </c>
      <c r="AH61" s="1">
        <f t="shared" si="43"/>
        <v>0</v>
      </c>
      <c r="AI61" s="23">
        <f t="shared" si="44"/>
        <v>1</v>
      </c>
      <c r="AJ61" s="23">
        <f t="shared" si="45"/>
        <v>0.74650161463939724</v>
      </c>
      <c r="AK61" s="23">
        <f t="shared" si="46"/>
        <v>29.860064585575891</v>
      </c>
      <c r="AL61" s="23">
        <f t="shared" si="47"/>
        <v>74.650161463939725</v>
      </c>
      <c r="AM61" s="23">
        <f t="shared" si="48"/>
        <v>0</v>
      </c>
      <c r="AN61" s="23">
        <f t="shared" si="49"/>
        <v>74.650161463939725</v>
      </c>
      <c r="AQ61" s="32">
        <f t="shared" si="50"/>
        <v>42736</v>
      </c>
      <c r="AR61" s="32">
        <f t="shared" si="51"/>
        <v>42916</v>
      </c>
      <c r="AS61" s="52">
        <v>40</v>
      </c>
      <c r="AT61" s="1">
        <f t="shared" si="52"/>
        <v>181</v>
      </c>
      <c r="AU61" s="1">
        <f t="shared" si="53"/>
        <v>0</v>
      </c>
      <c r="AV61" s="1">
        <f t="shared" si="54"/>
        <v>0</v>
      </c>
      <c r="AW61" s="1">
        <f t="shared" si="55"/>
        <v>0</v>
      </c>
      <c r="AX61" s="1">
        <f t="shared" si="56"/>
        <v>0</v>
      </c>
      <c r="AY61" s="23">
        <f t="shared" si="57"/>
        <v>1</v>
      </c>
      <c r="AZ61" s="23">
        <f t="shared" si="58"/>
        <v>0.74650161463939724</v>
      </c>
      <c r="BA61" s="23">
        <f t="shared" si="59"/>
        <v>29.860064585575891</v>
      </c>
      <c r="BB61" s="23">
        <f t="shared" si="60"/>
        <v>74.650161463939725</v>
      </c>
      <c r="BC61" s="23">
        <f t="shared" si="61"/>
        <v>0</v>
      </c>
      <c r="BD61" s="23">
        <f t="shared" si="62"/>
        <v>74.650161463939725</v>
      </c>
    </row>
    <row r="62" spans="1:56">
      <c r="A62" s="1" t="s">
        <v>20</v>
      </c>
      <c r="B62" s="1" t="s">
        <v>28</v>
      </c>
      <c r="C62" s="1" t="s">
        <v>22</v>
      </c>
      <c r="D62" s="1" t="s">
        <v>29</v>
      </c>
      <c r="E62" s="51" t="s">
        <v>107</v>
      </c>
      <c r="F62" s="51" t="s">
        <v>108</v>
      </c>
      <c r="G62" s="51" t="s">
        <v>109</v>
      </c>
      <c r="H62" s="1" t="s">
        <v>161</v>
      </c>
      <c r="I62" s="1" t="s">
        <v>131</v>
      </c>
      <c r="J62" s="51" t="s">
        <v>112</v>
      </c>
      <c r="K62" s="51" t="s">
        <v>112</v>
      </c>
      <c r="L62" s="51" t="s">
        <v>112</v>
      </c>
      <c r="M62" s="1">
        <v>2036434</v>
      </c>
      <c r="N62" s="52" t="s">
        <v>196</v>
      </c>
      <c r="O62" s="55">
        <f t="shared" si="65"/>
        <v>42537</v>
      </c>
      <c r="P62" s="55">
        <f>DATE(2018,12,31)</f>
        <v>43465</v>
      </c>
      <c r="Q62" s="51">
        <v>1480</v>
      </c>
      <c r="S62" s="51">
        <v>2.5</v>
      </c>
      <c r="U62" s="1">
        <f t="shared" si="33"/>
        <v>929</v>
      </c>
      <c r="V62" s="31">
        <f t="shared" si="34"/>
        <v>1.5931108719052745</v>
      </c>
      <c r="W62" s="31">
        <f t="shared" si="35"/>
        <v>581.48546824542518</v>
      </c>
      <c r="X62" s="31">
        <f t="shared" si="36"/>
        <v>0.72685683530678147</v>
      </c>
      <c r="AA62" s="32">
        <f t="shared" si="37"/>
        <v>42552</v>
      </c>
      <c r="AB62" s="32">
        <f t="shared" si="38"/>
        <v>42735</v>
      </c>
      <c r="AC62" s="52">
        <v>39</v>
      </c>
      <c r="AD62" s="1">
        <f t="shared" si="39"/>
        <v>184</v>
      </c>
      <c r="AE62" s="1">
        <f t="shared" si="40"/>
        <v>0</v>
      </c>
      <c r="AF62" s="1">
        <f t="shared" si="41"/>
        <v>0</v>
      </c>
      <c r="AG62" s="1">
        <f t="shared" si="42"/>
        <v>0</v>
      </c>
      <c r="AH62" s="1">
        <f t="shared" si="43"/>
        <v>0</v>
      </c>
      <c r="AI62" s="23">
        <f t="shared" si="44"/>
        <v>1</v>
      </c>
      <c r="AJ62" s="23">
        <f t="shared" si="45"/>
        <v>0.72685683530678147</v>
      </c>
      <c r="AK62" s="23">
        <f t="shared" si="46"/>
        <v>28.347416576964477</v>
      </c>
      <c r="AL62" s="23">
        <f t="shared" si="47"/>
        <v>70.868541442411185</v>
      </c>
      <c r="AM62" s="23">
        <f t="shared" si="48"/>
        <v>0</v>
      </c>
      <c r="AN62" s="23">
        <f t="shared" si="49"/>
        <v>70.868541442411185</v>
      </c>
      <c r="AQ62" s="32">
        <f t="shared" si="50"/>
        <v>42736</v>
      </c>
      <c r="AR62" s="32">
        <f t="shared" si="51"/>
        <v>42916</v>
      </c>
      <c r="AS62" s="52">
        <v>39</v>
      </c>
      <c r="AT62" s="1">
        <f t="shared" si="52"/>
        <v>181</v>
      </c>
      <c r="AU62" s="1">
        <f t="shared" si="53"/>
        <v>0</v>
      </c>
      <c r="AV62" s="1">
        <f t="shared" si="54"/>
        <v>0</v>
      </c>
      <c r="AW62" s="1">
        <f t="shared" si="55"/>
        <v>0</v>
      </c>
      <c r="AX62" s="1">
        <f t="shared" si="56"/>
        <v>0</v>
      </c>
      <c r="AY62" s="23">
        <f t="shared" si="57"/>
        <v>1</v>
      </c>
      <c r="AZ62" s="23">
        <f t="shared" si="58"/>
        <v>0.72685683530678147</v>
      </c>
      <c r="BA62" s="23">
        <f t="shared" si="59"/>
        <v>28.347416576964477</v>
      </c>
      <c r="BB62" s="23">
        <f t="shared" si="60"/>
        <v>70.868541442411185</v>
      </c>
      <c r="BC62" s="23">
        <f t="shared" si="61"/>
        <v>0</v>
      </c>
      <c r="BD62" s="23">
        <f t="shared" si="62"/>
        <v>70.868541442411185</v>
      </c>
    </row>
    <row r="63" spans="1:56">
      <c r="A63" s="1" t="s">
        <v>20</v>
      </c>
      <c r="B63" s="1" t="s">
        <v>28</v>
      </c>
      <c r="C63" s="1" t="s">
        <v>22</v>
      </c>
      <c r="D63" s="1" t="s">
        <v>29</v>
      </c>
      <c r="E63" s="51" t="s">
        <v>107</v>
      </c>
      <c r="F63" s="51" t="s">
        <v>114</v>
      </c>
      <c r="G63" s="51" t="s">
        <v>109</v>
      </c>
      <c r="H63" s="1" t="s">
        <v>130</v>
      </c>
      <c r="I63" s="1" t="s">
        <v>131</v>
      </c>
      <c r="J63" s="51" t="s">
        <v>112</v>
      </c>
      <c r="K63" s="51" t="s">
        <v>112</v>
      </c>
      <c r="L63" s="51" t="s">
        <v>112</v>
      </c>
      <c r="M63" s="1">
        <v>2036539</v>
      </c>
      <c r="N63" s="52" t="s">
        <v>197</v>
      </c>
      <c r="O63" s="55">
        <f t="shared" si="65"/>
        <v>42537</v>
      </c>
      <c r="P63" s="55">
        <f>DATE(2020,8,31)</f>
        <v>44074</v>
      </c>
      <c r="Q63" s="51">
        <v>3360</v>
      </c>
      <c r="S63" s="51">
        <v>2.5</v>
      </c>
      <c r="U63" s="1">
        <f t="shared" si="33"/>
        <v>1538</v>
      </c>
      <c r="V63" s="31">
        <f t="shared" si="34"/>
        <v>2.1846553966189859</v>
      </c>
      <c r="W63" s="31">
        <f t="shared" si="35"/>
        <v>797.39921976592984</v>
      </c>
      <c r="X63" s="31">
        <f t="shared" si="36"/>
        <v>0.99674902470741233</v>
      </c>
      <c r="AA63" s="32">
        <f t="shared" si="37"/>
        <v>42552</v>
      </c>
      <c r="AB63" s="32">
        <f t="shared" si="38"/>
        <v>42735</v>
      </c>
      <c r="AC63" s="52">
        <v>39</v>
      </c>
      <c r="AD63" s="1">
        <f t="shared" si="39"/>
        <v>184</v>
      </c>
      <c r="AE63" s="1">
        <f t="shared" si="40"/>
        <v>0</v>
      </c>
      <c r="AF63" s="1">
        <f t="shared" si="41"/>
        <v>0</v>
      </c>
      <c r="AG63" s="1">
        <f t="shared" si="42"/>
        <v>0</v>
      </c>
      <c r="AH63" s="1">
        <f t="shared" si="43"/>
        <v>0</v>
      </c>
      <c r="AI63" s="23">
        <f t="shared" si="44"/>
        <v>1</v>
      </c>
      <c r="AJ63" s="23">
        <f t="shared" si="45"/>
        <v>0.99674902470741233</v>
      </c>
      <c r="AK63" s="23">
        <f t="shared" si="46"/>
        <v>38.873211963589078</v>
      </c>
      <c r="AL63" s="23">
        <f t="shared" si="47"/>
        <v>97.183029908972699</v>
      </c>
      <c r="AM63" s="23">
        <f t="shared" si="48"/>
        <v>0</v>
      </c>
      <c r="AN63" s="23">
        <f t="shared" si="49"/>
        <v>97.183029908972699</v>
      </c>
      <c r="AQ63" s="32">
        <f t="shared" si="50"/>
        <v>42736</v>
      </c>
      <c r="AR63" s="32">
        <f t="shared" si="51"/>
        <v>42916</v>
      </c>
      <c r="AS63" s="52">
        <v>38</v>
      </c>
      <c r="AT63" s="1">
        <f t="shared" si="52"/>
        <v>181</v>
      </c>
      <c r="AU63" s="1">
        <f t="shared" si="53"/>
        <v>0</v>
      </c>
      <c r="AV63" s="1">
        <f t="shared" si="54"/>
        <v>0</v>
      </c>
      <c r="AW63" s="1">
        <f t="shared" si="55"/>
        <v>0</v>
      </c>
      <c r="AX63" s="1">
        <f t="shared" si="56"/>
        <v>0</v>
      </c>
      <c r="AY63" s="23">
        <f t="shared" si="57"/>
        <v>1</v>
      </c>
      <c r="AZ63" s="23">
        <f t="shared" si="58"/>
        <v>0.99674902470741233</v>
      </c>
      <c r="BA63" s="23">
        <f t="shared" si="59"/>
        <v>37.876462938881666</v>
      </c>
      <c r="BB63" s="23">
        <f t="shared" si="60"/>
        <v>94.691157347204168</v>
      </c>
      <c r="BC63" s="23">
        <f t="shared" si="61"/>
        <v>0</v>
      </c>
      <c r="BD63" s="23">
        <f t="shared" si="62"/>
        <v>94.691157347204168</v>
      </c>
    </row>
    <row r="64" spans="1:56">
      <c r="A64" s="1" t="s">
        <v>20</v>
      </c>
      <c r="B64" s="1" t="s">
        <v>28</v>
      </c>
      <c r="C64" s="1" t="s">
        <v>22</v>
      </c>
      <c r="D64" s="1" t="s">
        <v>29</v>
      </c>
      <c r="E64" s="51" t="s">
        <v>107</v>
      </c>
      <c r="F64" s="51" t="s">
        <v>108</v>
      </c>
      <c r="G64" s="51" t="s">
        <v>109</v>
      </c>
      <c r="H64" s="1" t="s">
        <v>110</v>
      </c>
      <c r="I64" s="1" t="s">
        <v>111</v>
      </c>
      <c r="J64" s="51" t="s">
        <v>112</v>
      </c>
      <c r="K64" s="51" t="s">
        <v>112</v>
      </c>
      <c r="L64" s="51" t="s">
        <v>112</v>
      </c>
      <c r="M64" s="1">
        <v>2165439</v>
      </c>
      <c r="N64" s="52" t="s">
        <v>198</v>
      </c>
      <c r="O64" s="55">
        <f t="shared" ref="O64:O74" si="66">DATE(2017,6,12)</f>
        <v>42898</v>
      </c>
      <c r="P64" s="55">
        <f>DATE(2020,6,30)</f>
        <v>44012</v>
      </c>
      <c r="Q64" s="51">
        <v>3853</v>
      </c>
      <c r="S64" s="51">
        <v>2</v>
      </c>
      <c r="U64" s="1">
        <f t="shared" si="33"/>
        <v>1115</v>
      </c>
      <c r="V64" s="31">
        <f t="shared" si="34"/>
        <v>3.4556053811659191</v>
      </c>
      <c r="W64" s="31">
        <f t="shared" si="35"/>
        <v>1261.2959641255604</v>
      </c>
      <c r="X64" s="31">
        <f t="shared" si="36"/>
        <v>1.5766199551569506</v>
      </c>
      <c r="AA64" s="32">
        <f t="shared" si="37"/>
        <v>42552</v>
      </c>
      <c r="AB64" s="32">
        <f t="shared" si="38"/>
        <v>42735</v>
      </c>
      <c r="AC64" s="1">
        <v>0</v>
      </c>
      <c r="AD64" s="1">
        <f t="shared" si="39"/>
        <v>0</v>
      </c>
      <c r="AE64" s="1">
        <f t="shared" si="40"/>
        <v>0</v>
      </c>
      <c r="AF64" s="1">
        <f t="shared" si="41"/>
        <v>0</v>
      </c>
      <c r="AG64" s="1">
        <f t="shared" si="42"/>
        <v>0</v>
      </c>
      <c r="AH64" s="1">
        <f t="shared" si="43"/>
        <v>0</v>
      </c>
      <c r="AI64" s="23">
        <f t="shared" si="44"/>
        <v>0</v>
      </c>
      <c r="AJ64" s="23">
        <f t="shared" si="45"/>
        <v>0</v>
      </c>
      <c r="AK64" s="23">
        <f t="shared" si="46"/>
        <v>0</v>
      </c>
      <c r="AL64" s="23">
        <f t="shared" si="47"/>
        <v>0</v>
      </c>
      <c r="AM64" s="23">
        <f t="shared" si="48"/>
        <v>0</v>
      </c>
      <c r="AN64" s="23">
        <f t="shared" si="49"/>
        <v>0</v>
      </c>
      <c r="AQ64" s="32">
        <f t="shared" si="50"/>
        <v>42736</v>
      </c>
      <c r="AR64" s="32">
        <f t="shared" si="51"/>
        <v>42916</v>
      </c>
      <c r="AS64" s="52">
        <v>39</v>
      </c>
      <c r="AT64" s="1">
        <f t="shared" si="52"/>
        <v>0</v>
      </c>
      <c r="AU64" s="1">
        <f t="shared" si="53"/>
        <v>19</v>
      </c>
      <c r="AV64" s="1">
        <f t="shared" si="54"/>
        <v>0</v>
      </c>
      <c r="AW64" s="1">
        <f t="shared" si="55"/>
        <v>0</v>
      </c>
      <c r="AX64" s="1">
        <f t="shared" si="56"/>
        <v>0</v>
      </c>
      <c r="AY64" s="23">
        <f t="shared" si="57"/>
        <v>0.10497237569060773</v>
      </c>
      <c r="AZ64" s="23">
        <f t="shared" si="58"/>
        <v>0.16550154225404454</v>
      </c>
      <c r="BA64" s="23">
        <f t="shared" si="59"/>
        <v>6.4545601479077366</v>
      </c>
      <c r="BB64" s="23">
        <f t="shared" si="60"/>
        <v>12.909120295815473</v>
      </c>
      <c r="BC64" s="23">
        <f t="shared" si="61"/>
        <v>0</v>
      </c>
      <c r="BD64" s="23">
        <f t="shared" si="62"/>
        <v>12.909120295815473</v>
      </c>
    </row>
    <row r="65" spans="1:56">
      <c r="A65" s="1" t="s">
        <v>20</v>
      </c>
      <c r="B65" s="1" t="s">
        <v>28</v>
      </c>
      <c r="C65" s="1" t="s">
        <v>22</v>
      </c>
      <c r="D65" s="1" t="s">
        <v>29</v>
      </c>
      <c r="E65" s="51" t="s">
        <v>107</v>
      </c>
      <c r="F65" s="51" t="s">
        <v>108</v>
      </c>
      <c r="G65" s="51" t="s">
        <v>109</v>
      </c>
      <c r="H65" s="1" t="s">
        <v>110</v>
      </c>
      <c r="I65" s="1" t="s">
        <v>111</v>
      </c>
      <c r="J65" s="51" t="s">
        <v>112</v>
      </c>
      <c r="K65" s="51" t="s">
        <v>112</v>
      </c>
      <c r="L65" s="51" t="s">
        <v>112</v>
      </c>
      <c r="M65" s="1">
        <v>2165779</v>
      </c>
      <c r="N65" s="52" t="s">
        <v>199</v>
      </c>
      <c r="O65" s="55">
        <f t="shared" si="66"/>
        <v>42898</v>
      </c>
      <c r="P65" s="55">
        <f>DATE(2018,12,30)</f>
        <v>43464</v>
      </c>
      <c r="Q65" s="51">
        <v>1465</v>
      </c>
      <c r="S65" s="51">
        <v>2</v>
      </c>
      <c r="U65" s="1">
        <f t="shared" si="33"/>
        <v>567</v>
      </c>
      <c r="V65" s="31">
        <f t="shared" si="34"/>
        <v>2.5837742504409169</v>
      </c>
      <c r="W65" s="31">
        <f t="shared" si="35"/>
        <v>943.07760141093468</v>
      </c>
      <c r="X65" s="31">
        <f t="shared" si="36"/>
        <v>1.1788470017636683</v>
      </c>
      <c r="AA65" s="32">
        <f t="shared" si="37"/>
        <v>42552</v>
      </c>
      <c r="AB65" s="32">
        <f t="shared" si="38"/>
        <v>42735</v>
      </c>
      <c r="AC65" s="1">
        <v>0</v>
      </c>
      <c r="AD65" s="1">
        <f t="shared" si="39"/>
        <v>0</v>
      </c>
      <c r="AE65" s="1">
        <f t="shared" si="40"/>
        <v>0</v>
      </c>
      <c r="AF65" s="1">
        <f t="shared" si="41"/>
        <v>0</v>
      </c>
      <c r="AG65" s="1">
        <f t="shared" si="42"/>
        <v>0</v>
      </c>
      <c r="AH65" s="1">
        <f t="shared" si="43"/>
        <v>0</v>
      </c>
      <c r="AI65" s="23">
        <f t="shared" si="44"/>
        <v>0</v>
      </c>
      <c r="AJ65" s="23">
        <f t="shared" si="45"/>
        <v>0</v>
      </c>
      <c r="AK65" s="23">
        <f t="shared" si="46"/>
        <v>0</v>
      </c>
      <c r="AL65" s="23">
        <f t="shared" si="47"/>
        <v>0</v>
      </c>
      <c r="AM65" s="23">
        <f t="shared" si="48"/>
        <v>0</v>
      </c>
      <c r="AN65" s="23">
        <f t="shared" si="49"/>
        <v>0</v>
      </c>
      <c r="AQ65" s="32">
        <f t="shared" si="50"/>
        <v>42736</v>
      </c>
      <c r="AR65" s="32">
        <f t="shared" si="51"/>
        <v>42916</v>
      </c>
      <c r="AS65" s="52">
        <v>39</v>
      </c>
      <c r="AT65" s="1">
        <f t="shared" si="52"/>
        <v>0</v>
      </c>
      <c r="AU65" s="1">
        <f t="shared" si="53"/>
        <v>19</v>
      </c>
      <c r="AV65" s="1">
        <f t="shared" si="54"/>
        <v>0</v>
      </c>
      <c r="AW65" s="1">
        <f t="shared" si="55"/>
        <v>0</v>
      </c>
      <c r="AX65" s="1">
        <f t="shared" si="56"/>
        <v>0</v>
      </c>
      <c r="AY65" s="23">
        <f t="shared" si="57"/>
        <v>0.10497237569060773</v>
      </c>
      <c r="AZ65" s="23">
        <f t="shared" si="58"/>
        <v>0.1237463703508823</v>
      </c>
      <c r="BA65" s="23">
        <f t="shared" si="59"/>
        <v>4.8261084436844097</v>
      </c>
      <c r="BB65" s="23">
        <f t="shared" si="60"/>
        <v>9.6522168873688194</v>
      </c>
      <c r="BC65" s="23">
        <f t="shared" si="61"/>
        <v>0</v>
      </c>
      <c r="BD65" s="23">
        <f t="shared" si="62"/>
        <v>9.6522168873688194</v>
      </c>
    </row>
    <row r="66" spans="1:56">
      <c r="A66" s="1" t="s">
        <v>20</v>
      </c>
      <c r="B66" s="1" t="s">
        <v>28</v>
      </c>
      <c r="C66" s="1" t="s">
        <v>22</v>
      </c>
      <c r="D66" s="1" t="s">
        <v>29</v>
      </c>
      <c r="E66" s="51" t="s">
        <v>107</v>
      </c>
      <c r="F66" s="51" t="s">
        <v>108</v>
      </c>
      <c r="G66" s="51" t="s">
        <v>109</v>
      </c>
      <c r="H66" s="1" t="s">
        <v>146</v>
      </c>
      <c r="I66" s="1" t="s">
        <v>147</v>
      </c>
      <c r="J66" s="51" t="s">
        <v>148</v>
      </c>
      <c r="K66" s="51" t="s">
        <v>112</v>
      </c>
      <c r="L66" s="51" t="s">
        <v>112</v>
      </c>
      <c r="M66" s="1">
        <v>2165904</v>
      </c>
      <c r="N66" s="52" t="s">
        <v>200</v>
      </c>
      <c r="O66" s="55">
        <f t="shared" si="66"/>
        <v>42898</v>
      </c>
      <c r="P66" s="55">
        <f>DATE(2018,12,30)</f>
        <v>43464</v>
      </c>
      <c r="Q66" s="51">
        <v>1071</v>
      </c>
      <c r="S66" s="51">
        <v>2.5</v>
      </c>
      <c r="U66" s="1">
        <f t="shared" si="33"/>
        <v>567</v>
      </c>
      <c r="V66" s="31">
        <f t="shared" si="34"/>
        <v>1.8888888888888888</v>
      </c>
      <c r="W66" s="31">
        <f t="shared" si="35"/>
        <v>689.44444444444446</v>
      </c>
      <c r="X66" s="31">
        <f t="shared" si="36"/>
        <v>0.8618055555555556</v>
      </c>
      <c r="AA66" s="32">
        <f t="shared" si="37"/>
        <v>42552</v>
      </c>
      <c r="AB66" s="32">
        <f t="shared" si="38"/>
        <v>42735</v>
      </c>
      <c r="AC66" s="1">
        <v>0</v>
      </c>
      <c r="AD66" s="1">
        <f t="shared" si="39"/>
        <v>0</v>
      </c>
      <c r="AE66" s="1">
        <f t="shared" si="40"/>
        <v>0</v>
      </c>
      <c r="AF66" s="1">
        <f t="shared" si="41"/>
        <v>0</v>
      </c>
      <c r="AG66" s="1">
        <f t="shared" si="42"/>
        <v>0</v>
      </c>
      <c r="AH66" s="1">
        <f t="shared" si="43"/>
        <v>0</v>
      </c>
      <c r="AI66" s="23">
        <f t="shared" si="44"/>
        <v>0</v>
      </c>
      <c r="AJ66" s="23">
        <f t="shared" si="45"/>
        <v>0</v>
      </c>
      <c r="AK66" s="23">
        <f t="shared" si="46"/>
        <v>0</v>
      </c>
      <c r="AL66" s="23">
        <f t="shared" si="47"/>
        <v>0</v>
      </c>
      <c r="AM66" s="23">
        <f t="shared" si="48"/>
        <v>0</v>
      </c>
      <c r="AN66" s="23">
        <f t="shared" si="49"/>
        <v>0</v>
      </c>
      <c r="AQ66" s="32">
        <f t="shared" si="50"/>
        <v>42736</v>
      </c>
      <c r="AR66" s="32">
        <f t="shared" si="51"/>
        <v>42916</v>
      </c>
      <c r="AS66" s="52">
        <v>40</v>
      </c>
      <c r="AT66" s="1">
        <f t="shared" si="52"/>
        <v>0</v>
      </c>
      <c r="AU66" s="1">
        <f t="shared" si="53"/>
        <v>19</v>
      </c>
      <c r="AV66" s="1">
        <f t="shared" si="54"/>
        <v>0</v>
      </c>
      <c r="AW66" s="1">
        <f t="shared" si="55"/>
        <v>0</v>
      </c>
      <c r="AX66" s="1">
        <f t="shared" si="56"/>
        <v>0</v>
      </c>
      <c r="AY66" s="23">
        <f t="shared" si="57"/>
        <v>0.10497237569060773</v>
      </c>
      <c r="AZ66" s="23">
        <f t="shared" si="58"/>
        <v>9.0465776550030699E-2</v>
      </c>
      <c r="BA66" s="23">
        <f t="shared" si="59"/>
        <v>3.6186310620012279</v>
      </c>
      <c r="BB66" s="23">
        <f t="shared" si="60"/>
        <v>9.0465776550030697</v>
      </c>
      <c r="BC66" s="23">
        <f t="shared" si="61"/>
        <v>4.5232888275015348</v>
      </c>
      <c r="BD66" s="23">
        <f t="shared" si="62"/>
        <v>13.569866482504604</v>
      </c>
    </row>
    <row r="67" spans="1:56">
      <c r="A67" s="1" t="s">
        <v>20</v>
      </c>
      <c r="B67" s="1" t="s">
        <v>28</v>
      </c>
      <c r="C67" s="1" t="s">
        <v>22</v>
      </c>
      <c r="D67" s="1" t="s">
        <v>29</v>
      </c>
      <c r="E67" s="51" t="s">
        <v>107</v>
      </c>
      <c r="F67" s="51" t="s">
        <v>108</v>
      </c>
      <c r="G67" s="51" t="s">
        <v>109</v>
      </c>
      <c r="H67" s="1" t="s">
        <v>124</v>
      </c>
      <c r="I67" s="1" t="s">
        <v>125</v>
      </c>
      <c r="J67" s="51" t="s">
        <v>112</v>
      </c>
      <c r="K67" s="51" t="s">
        <v>112</v>
      </c>
      <c r="L67" s="51" t="s">
        <v>112</v>
      </c>
      <c r="M67" s="1">
        <v>2167477</v>
      </c>
      <c r="N67" s="52" t="s">
        <v>201</v>
      </c>
      <c r="O67" s="55">
        <f t="shared" si="66"/>
        <v>42898</v>
      </c>
      <c r="P67" s="55">
        <f>DATE(2018,12,30)</f>
        <v>43464</v>
      </c>
      <c r="Q67" s="51">
        <v>1480</v>
      </c>
      <c r="S67" s="51">
        <v>2.5</v>
      </c>
      <c r="U67" s="1">
        <f t="shared" si="33"/>
        <v>567</v>
      </c>
      <c r="V67" s="31">
        <f t="shared" si="34"/>
        <v>2.6102292768959434</v>
      </c>
      <c r="W67" s="31">
        <f t="shared" si="35"/>
        <v>952.73368606701933</v>
      </c>
      <c r="X67" s="31">
        <f t="shared" si="36"/>
        <v>1.1909171075837741</v>
      </c>
      <c r="AA67" s="32">
        <f t="shared" si="37"/>
        <v>42552</v>
      </c>
      <c r="AB67" s="32">
        <f t="shared" si="38"/>
        <v>42735</v>
      </c>
      <c r="AC67" s="1">
        <v>0</v>
      </c>
      <c r="AD67" s="1">
        <f t="shared" si="39"/>
        <v>0</v>
      </c>
      <c r="AE67" s="1">
        <f t="shared" si="40"/>
        <v>0</v>
      </c>
      <c r="AF67" s="1">
        <f t="shared" si="41"/>
        <v>0</v>
      </c>
      <c r="AG67" s="1">
        <f t="shared" si="42"/>
        <v>0</v>
      </c>
      <c r="AH67" s="1">
        <f t="shared" si="43"/>
        <v>0</v>
      </c>
      <c r="AI67" s="23">
        <f t="shared" si="44"/>
        <v>0</v>
      </c>
      <c r="AJ67" s="23">
        <f t="shared" si="45"/>
        <v>0</v>
      </c>
      <c r="AK67" s="23">
        <f t="shared" si="46"/>
        <v>0</v>
      </c>
      <c r="AL67" s="23">
        <f t="shared" si="47"/>
        <v>0</v>
      </c>
      <c r="AM67" s="23">
        <f t="shared" si="48"/>
        <v>0</v>
      </c>
      <c r="AN67" s="23">
        <f t="shared" si="49"/>
        <v>0</v>
      </c>
      <c r="AQ67" s="32">
        <f t="shared" si="50"/>
        <v>42736</v>
      </c>
      <c r="AR67" s="32">
        <f t="shared" si="51"/>
        <v>42916</v>
      </c>
      <c r="AS67" s="52">
        <v>39</v>
      </c>
      <c r="AT67" s="1">
        <f t="shared" si="52"/>
        <v>0</v>
      </c>
      <c r="AU67" s="1">
        <f t="shared" si="53"/>
        <v>19</v>
      </c>
      <c r="AV67" s="1">
        <f t="shared" si="54"/>
        <v>0</v>
      </c>
      <c r="AW67" s="1">
        <f t="shared" si="55"/>
        <v>0</v>
      </c>
      <c r="AX67" s="1">
        <f t="shared" si="56"/>
        <v>0</v>
      </c>
      <c r="AY67" s="23">
        <f t="shared" si="57"/>
        <v>0.10497237569060773</v>
      </c>
      <c r="AZ67" s="23">
        <f t="shared" si="58"/>
        <v>0.12501339803365585</v>
      </c>
      <c r="BA67" s="23">
        <f t="shared" si="59"/>
        <v>4.8755225233125783</v>
      </c>
      <c r="BB67" s="23">
        <f t="shared" si="60"/>
        <v>12.188806308281446</v>
      </c>
      <c r="BC67" s="23">
        <f t="shared" si="61"/>
        <v>0</v>
      </c>
      <c r="BD67" s="23">
        <f t="shared" si="62"/>
        <v>12.188806308281446</v>
      </c>
    </row>
    <row r="68" spans="1:56">
      <c r="A68" s="1" t="s">
        <v>20</v>
      </c>
      <c r="B68" s="1" t="s">
        <v>28</v>
      </c>
      <c r="C68" s="1" t="s">
        <v>22</v>
      </c>
      <c r="D68" s="1" t="s">
        <v>29</v>
      </c>
      <c r="E68" s="51" t="s">
        <v>107</v>
      </c>
      <c r="F68" s="51" t="s">
        <v>108</v>
      </c>
      <c r="G68" s="51" t="s">
        <v>109</v>
      </c>
      <c r="H68" s="1" t="s">
        <v>175</v>
      </c>
      <c r="I68" s="1" t="s">
        <v>147</v>
      </c>
      <c r="J68" s="51" t="s">
        <v>148</v>
      </c>
      <c r="K68" s="51" t="s">
        <v>112</v>
      </c>
      <c r="L68" s="51" t="s">
        <v>112</v>
      </c>
      <c r="M68" s="1">
        <v>2167481</v>
      </c>
      <c r="N68" s="52" t="s">
        <v>202</v>
      </c>
      <c r="O68" s="55">
        <f t="shared" si="66"/>
        <v>42898</v>
      </c>
      <c r="P68" s="55">
        <f>DATE(2018,12,30)</f>
        <v>43464</v>
      </c>
      <c r="Q68" s="51">
        <v>1200</v>
      </c>
      <c r="S68" s="51">
        <v>2.5</v>
      </c>
      <c r="U68" s="1">
        <f t="shared" ref="U68:U74" si="67">P68-O68+1</f>
        <v>567</v>
      </c>
      <c r="V68" s="31">
        <f t="shared" ref="V68:V74" si="68">Q68/U68</f>
        <v>2.1164021164021163</v>
      </c>
      <c r="W68" s="31">
        <f t="shared" ref="W68:W74" si="69">IF(U68&gt;365,V68*365,Q68)</f>
        <v>772.48677248677245</v>
      </c>
      <c r="X68" s="31">
        <f t="shared" ref="X68:X74" si="70">IF(U68&gt;365,W68/800,Q68/800)</f>
        <v>0.96560846560846558</v>
      </c>
      <c r="AA68" s="32">
        <f t="shared" ref="AA68:AA74" si="71">DATE(2016,7,1)</f>
        <v>42552</v>
      </c>
      <c r="AB68" s="32">
        <f t="shared" ref="AB68:AB74" si="72">DATE(2016,12,31)</f>
        <v>42735</v>
      </c>
      <c r="AC68" s="1">
        <v>0</v>
      </c>
      <c r="AD68" s="1">
        <f t="shared" ref="AD68:AD74" si="73">IF(AND(O68&lt;AA68,P68&gt;AB68),AB68-AA68+1,0)</f>
        <v>0</v>
      </c>
      <c r="AE68" s="1">
        <f t="shared" ref="AE68:AE74" si="74">IF(AND(O68&gt;=AA68,P68&gt;AB68,O68&lt;AB68),AB68-O68+1,0)</f>
        <v>0</v>
      </c>
      <c r="AF68" s="1">
        <f t="shared" ref="AF68:AF74" si="75">IF(AND(O68&lt;AA68,P68&lt;=AB68,P68&gt;=AA68),P68-AA68+1,0)</f>
        <v>0</v>
      </c>
      <c r="AG68" s="1">
        <f t="shared" ref="AG68:AG74" si="76">IF(AND(O68&gt;=AA68,P68&lt;=AB68),P68-O68+1,0)</f>
        <v>0</v>
      </c>
      <c r="AH68" s="1">
        <f t="shared" ref="AH68:AH74" si="77">IF(AND(O68&lt;AA68,P68&lt;AA68),(AB68-AA68+1)/2,0)</f>
        <v>0</v>
      </c>
      <c r="AI68" s="23">
        <f t="shared" ref="AI68:AI74" si="78">SUM(AD68:AH68)/(AB68-AA68+1)</f>
        <v>0</v>
      </c>
      <c r="AJ68" s="23">
        <f t="shared" ref="AJ68:AJ74" si="79">X68*AI68</f>
        <v>0</v>
      </c>
      <c r="AK68" s="23">
        <f t="shared" ref="AK68:AK74" si="80">IF(AH68=0,AJ68*AC68,IF(AA68-P68&gt;1095,0,AJ68*(AC68/2)))</f>
        <v>0</v>
      </c>
      <c r="AL68" s="23">
        <f t="shared" ref="AL68:AL74" si="81">AK68*S68</f>
        <v>0</v>
      </c>
      <c r="AM68" s="23">
        <f t="shared" ref="AM68:AM74" si="82">IF(J68="SIM",AL68*50%,0)</f>
        <v>0</v>
      </c>
      <c r="AN68" s="23">
        <f t="shared" ref="AN68:AN74" si="83">AL68+AM68</f>
        <v>0</v>
      </c>
      <c r="AQ68" s="32">
        <f t="shared" ref="AQ68:AQ74" si="84">DATE(2017,1,1)</f>
        <v>42736</v>
      </c>
      <c r="AR68" s="32">
        <f t="shared" ref="AR68:AR74" si="85">DATE(2017,6,30)</f>
        <v>42916</v>
      </c>
      <c r="AS68" s="52">
        <v>39</v>
      </c>
      <c r="AT68" s="1">
        <f t="shared" ref="AT68:AT74" si="86">IF(AND(O68&lt;AQ68,P68&gt;AR68),AR68-AQ68+1,0)</f>
        <v>0</v>
      </c>
      <c r="AU68" s="1">
        <f t="shared" ref="AU68:AU74" si="87">IF(AND(O68&gt;=AQ68,P68&gt;AR68,O68&lt;AR68),AR68-O68+1,0)</f>
        <v>19</v>
      </c>
      <c r="AV68" s="1">
        <f t="shared" ref="AV68:AV74" si="88">IF(AND(O68&lt;AQ68,P68&lt;=AR68,P68&gt;=AQ68),P68-AQ68+1,0)</f>
        <v>0</v>
      </c>
      <c r="AW68" s="1">
        <f t="shared" ref="AW68:AW74" si="89">IF(AND(O68&gt;=AQ68,P68&lt;=AR68),P68-O68+1,0)</f>
        <v>0</v>
      </c>
      <c r="AX68" s="1">
        <f t="shared" ref="AX68:AX74" si="90">IF(AND(O68&lt;AQ68,P68&lt;AQ68),(AR68-AQ68+1)/2,0)</f>
        <v>0</v>
      </c>
      <c r="AY68" s="23">
        <f t="shared" ref="AY68:AY74" si="91">SUM(AT68:AX68)/(AR68-AQ68+1)</f>
        <v>0.10497237569060773</v>
      </c>
      <c r="AZ68" s="23">
        <f t="shared" ref="AZ68:AZ74" si="92">X68*AY68</f>
        <v>0.10136221462188312</v>
      </c>
      <c r="BA68" s="23">
        <f t="shared" ref="BA68:BA74" si="93">IF(AX68=0,AZ68*AS68,IF(AQ68-P68&gt;1095,0,AZ68*(AS68/2)))</f>
        <v>3.9531263702534418</v>
      </c>
      <c r="BB68" s="23">
        <f t="shared" ref="BB68:BB74" si="94">BA68*S68</f>
        <v>9.8828159256336043</v>
      </c>
      <c r="BC68" s="23">
        <f t="shared" ref="BC68:BC74" si="95">IF(J68="SIM",BB68*50%,0)</f>
        <v>4.9414079628168022</v>
      </c>
      <c r="BD68" s="23">
        <f t="shared" ref="BD68:BD74" si="96">BB68+BC68</f>
        <v>14.824223888450407</v>
      </c>
    </row>
    <row r="69" spans="1:56">
      <c r="A69" s="1" t="s">
        <v>20</v>
      </c>
      <c r="B69" s="1" t="s">
        <v>28</v>
      </c>
      <c r="C69" s="1" t="s">
        <v>22</v>
      </c>
      <c r="D69" s="1" t="s">
        <v>29</v>
      </c>
      <c r="E69" s="51" t="s">
        <v>107</v>
      </c>
      <c r="F69" s="51" t="s">
        <v>108</v>
      </c>
      <c r="G69" s="51" t="s">
        <v>109</v>
      </c>
      <c r="H69" s="1" t="s">
        <v>136</v>
      </c>
      <c r="I69" s="1" t="s">
        <v>131</v>
      </c>
      <c r="J69" s="51" t="s">
        <v>112</v>
      </c>
      <c r="K69" s="51" t="s">
        <v>112</v>
      </c>
      <c r="L69" s="51" t="s">
        <v>112</v>
      </c>
      <c r="M69" s="1">
        <v>2167496</v>
      </c>
      <c r="N69" s="52" t="s">
        <v>203</v>
      </c>
      <c r="O69" s="55">
        <f t="shared" si="66"/>
        <v>42898</v>
      </c>
      <c r="P69" s="55">
        <f>DATE(2020,6,30)</f>
        <v>44012</v>
      </c>
      <c r="Q69" s="51">
        <v>3833</v>
      </c>
      <c r="S69" s="51">
        <v>1</v>
      </c>
      <c r="U69" s="1">
        <f t="shared" si="67"/>
        <v>1115</v>
      </c>
      <c r="V69" s="31">
        <f t="shared" si="68"/>
        <v>3.4376681614349778</v>
      </c>
      <c r="W69" s="31">
        <f t="shared" si="69"/>
        <v>1254.7488789237668</v>
      </c>
      <c r="X69" s="31">
        <f t="shared" si="70"/>
        <v>1.5684360986547086</v>
      </c>
      <c r="AA69" s="32">
        <f t="shared" si="71"/>
        <v>42552</v>
      </c>
      <c r="AB69" s="32">
        <f t="shared" si="72"/>
        <v>42735</v>
      </c>
      <c r="AC69" s="1">
        <v>0</v>
      </c>
      <c r="AD69" s="1">
        <f t="shared" si="73"/>
        <v>0</v>
      </c>
      <c r="AE69" s="1">
        <f t="shared" si="74"/>
        <v>0</v>
      </c>
      <c r="AF69" s="1">
        <f t="shared" si="75"/>
        <v>0</v>
      </c>
      <c r="AG69" s="1">
        <f t="shared" si="76"/>
        <v>0</v>
      </c>
      <c r="AH69" s="1">
        <f t="shared" si="77"/>
        <v>0</v>
      </c>
      <c r="AI69" s="23">
        <f t="shared" si="78"/>
        <v>0</v>
      </c>
      <c r="AJ69" s="23">
        <f t="shared" si="79"/>
        <v>0</v>
      </c>
      <c r="AK69" s="23">
        <f t="shared" si="80"/>
        <v>0</v>
      </c>
      <c r="AL69" s="23">
        <f t="shared" si="81"/>
        <v>0</v>
      </c>
      <c r="AM69" s="23">
        <f t="shared" si="82"/>
        <v>0</v>
      </c>
      <c r="AN69" s="23">
        <f t="shared" si="83"/>
        <v>0</v>
      </c>
      <c r="AQ69" s="32">
        <f t="shared" si="84"/>
        <v>42736</v>
      </c>
      <c r="AR69" s="32">
        <f t="shared" si="85"/>
        <v>42916</v>
      </c>
      <c r="AS69" s="52">
        <v>39</v>
      </c>
      <c r="AT69" s="1">
        <f t="shared" si="86"/>
        <v>0</v>
      </c>
      <c r="AU69" s="1">
        <f t="shared" si="87"/>
        <v>19</v>
      </c>
      <c r="AV69" s="1">
        <f t="shared" si="88"/>
        <v>0</v>
      </c>
      <c r="AW69" s="1">
        <f t="shared" si="89"/>
        <v>0</v>
      </c>
      <c r="AX69" s="1">
        <f t="shared" si="90"/>
        <v>0</v>
      </c>
      <c r="AY69" s="23">
        <f t="shared" si="91"/>
        <v>0.10497237569060773</v>
      </c>
      <c r="AZ69" s="23">
        <f t="shared" si="92"/>
        <v>0.16464246339469316</v>
      </c>
      <c r="BA69" s="23">
        <f t="shared" si="93"/>
        <v>6.421056072393033</v>
      </c>
      <c r="BB69" s="23">
        <f t="shared" si="94"/>
        <v>6.421056072393033</v>
      </c>
      <c r="BC69" s="23">
        <f t="shared" si="95"/>
        <v>0</v>
      </c>
      <c r="BD69" s="23">
        <f t="shared" si="96"/>
        <v>6.421056072393033</v>
      </c>
    </row>
    <row r="70" spans="1:56">
      <c r="A70" s="1" t="s">
        <v>20</v>
      </c>
      <c r="B70" s="1" t="s">
        <v>28</v>
      </c>
      <c r="C70" s="1" t="s">
        <v>22</v>
      </c>
      <c r="D70" s="1" t="s">
        <v>29</v>
      </c>
      <c r="E70" s="51" t="s">
        <v>107</v>
      </c>
      <c r="F70" s="51" t="s">
        <v>108</v>
      </c>
      <c r="G70" s="51" t="s">
        <v>109</v>
      </c>
      <c r="H70" s="1" t="s">
        <v>161</v>
      </c>
      <c r="I70" s="1" t="s">
        <v>131</v>
      </c>
      <c r="J70" s="51" t="s">
        <v>112</v>
      </c>
      <c r="K70" s="51" t="s">
        <v>112</v>
      </c>
      <c r="L70" s="51" t="s">
        <v>112</v>
      </c>
      <c r="M70" s="1">
        <v>2167627</v>
      </c>
      <c r="N70" s="52" t="s">
        <v>204</v>
      </c>
      <c r="O70" s="55">
        <f t="shared" si="66"/>
        <v>42898</v>
      </c>
      <c r="P70" s="55">
        <f>DATE(2018,12,30)</f>
        <v>43464</v>
      </c>
      <c r="Q70" s="51">
        <v>1217</v>
      </c>
      <c r="S70" s="51">
        <v>2.5</v>
      </c>
      <c r="U70" s="1">
        <f t="shared" si="67"/>
        <v>567</v>
      </c>
      <c r="V70" s="31">
        <f t="shared" si="68"/>
        <v>2.1463844797178129</v>
      </c>
      <c r="W70" s="31">
        <f t="shared" si="69"/>
        <v>783.43033509700172</v>
      </c>
      <c r="X70" s="31">
        <f t="shared" si="70"/>
        <v>0.97928791887125211</v>
      </c>
      <c r="AA70" s="32">
        <f t="shared" si="71"/>
        <v>42552</v>
      </c>
      <c r="AB70" s="32">
        <f t="shared" si="72"/>
        <v>42735</v>
      </c>
      <c r="AC70" s="1">
        <v>0</v>
      </c>
      <c r="AD70" s="1">
        <f t="shared" si="73"/>
        <v>0</v>
      </c>
      <c r="AE70" s="1">
        <f t="shared" si="74"/>
        <v>0</v>
      </c>
      <c r="AF70" s="1">
        <f t="shared" si="75"/>
        <v>0</v>
      </c>
      <c r="AG70" s="1">
        <f t="shared" si="76"/>
        <v>0</v>
      </c>
      <c r="AH70" s="1">
        <f t="shared" si="77"/>
        <v>0</v>
      </c>
      <c r="AI70" s="23">
        <f t="shared" si="78"/>
        <v>0</v>
      </c>
      <c r="AJ70" s="23">
        <f t="shared" si="79"/>
        <v>0</v>
      </c>
      <c r="AK70" s="23">
        <f t="shared" si="80"/>
        <v>0</v>
      </c>
      <c r="AL70" s="23">
        <f t="shared" si="81"/>
        <v>0</v>
      </c>
      <c r="AM70" s="23">
        <f t="shared" si="82"/>
        <v>0</v>
      </c>
      <c r="AN70" s="23">
        <f t="shared" si="83"/>
        <v>0</v>
      </c>
      <c r="AQ70" s="32">
        <f t="shared" si="84"/>
        <v>42736</v>
      </c>
      <c r="AR70" s="32">
        <f t="shared" si="85"/>
        <v>42916</v>
      </c>
      <c r="AS70" s="52">
        <v>39</v>
      </c>
      <c r="AT70" s="1">
        <f t="shared" si="86"/>
        <v>0</v>
      </c>
      <c r="AU70" s="1">
        <f t="shared" si="87"/>
        <v>19</v>
      </c>
      <c r="AV70" s="1">
        <f t="shared" si="88"/>
        <v>0</v>
      </c>
      <c r="AW70" s="1">
        <f t="shared" si="89"/>
        <v>0</v>
      </c>
      <c r="AX70" s="1">
        <f t="shared" si="90"/>
        <v>0</v>
      </c>
      <c r="AY70" s="23">
        <f t="shared" si="91"/>
        <v>0.10497237569060773</v>
      </c>
      <c r="AZ70" s="23">
        <f t="shared" si="92"/>
        <v>0.10279817932902646</v>
      </c>
      <c r="BA70" s="23">
        <f t="shared" si="93"/>
        <v>4.0091289938320323</v>
      </c>
      <c r="BB70" s="23">
        <f t="shared" si="94"/>
        <v>10.022822484580081</v>
      </c>
      <c r="BC70" s="23">
        <f t="shared" si="95"/>
        <v>0</v>
      </c>
      <c r="BD70" s="23">
        <f t="shared" si="96"/>
        <v>10.022822484580081</v>
      </c>
    </row>
    <row r="71" spans="1:56">
      <c r="A71" s="1" t="s">
        <v>20</v>
      </c>
      <c r="B71" s="1" t="s">
        <v>28</v>
      </c>
      <c r="C71" s="1" t="s">
        <v>22</v>
      </c>
      <c r="D71" s="1" t="s">
        <v>29</v>
      </c>
      <c r="E71" s="51" t="s">
        <v>107</v>
      </c>
      <c r="F71" s="51" t="s">
        <v>108</v>
      </c>
      <c r="G71" s="51" t="s">
        <v>109</v>
      </c>
      <c r="H71" s="1" t="s">
        <v>124</v>
      </c>
      <c r="I71" s="1" t="s">
        <v>125</v>
      </c>
      <c r="J71" s="51" t="s">
        <v>112</v>
      </c>
      <c r="K71" s="51" t="s">
        <v>112</v>
      </c>
      <c r="L71" s="51" t="s">
        <v>112</v>
      </c>
      <c r="M71" s="1">
        <v>2167639</v>
      </c>
      <c r="N71" s="52" t="s">
        <v>205</v>
      </c>
      <c r="O71" s="55">
        <f t="shared" si="66"/>
        <v>42898</v>
      </c>
      <c r="P71" s="55">
        <f>DATE(2020,6,30)</f>
        <v>44012</v>
      </c>
      <c r="Q71" s="51">
        <v>3840</v>
      </c>
      <c r="S71" s="51">
        <v>2.5</v>
      </c>
      <c r="U71" s="1">
        <f t="shared" si="67"/>
        <v>1115</v>
      </c>
      <c r="V71" s="31">
        <f t="shared" si="68"/>
        <v>3.4439461883408073</v>
      </c>
      <c r="W71" s="31">
        <f t="shared" si="69"/>
        <v>1257.0403587443948</v>
      </c>
      <c r="X71" s="31">
        <f t="shared" si="70"/>
        <v>1.5713004484304935</v>
      </c>
      <c r="AA71" s="32">
        <f t="shared" si="71"/>
        <v>42552</v>
      </c>
      <c r="AB71" s="32">
        <f t="shared" si="72"/>
        <v>42735</v>
      </c>
      <c r="AC71" s="1">
        <v>0</v>
      </c>
      <c r="AD71" s="1">
        <f t="shared" si="73"/>
        <v>0</v>
      </c>
      <c r="AE71" s="1">
        <f t="shared" si="74"/>
        <v>0</v>
      </c>
      <c r="AF71" s="1">
        <f t="shared" si="75"/>
        <v>0</v>
      </c>
      <c r="AG71" s="1">
        <f t="shared" si="76"/>
        <v>0</v>
      </c>
      <c r="AH71" s="1">
        <f t="shared" si="77"/>
        <v>0</v>
      </c>
      <c r="AI71" s="23">
        <f t="shared" si="78"/>
        <v>0</v>
      </c>
      <c r="AJ71" s="23">
        <f t="shared" si="79"/>
        <v>0</v>
      </c>
      <c r="AK71" s="23">
        <f t="shared" si="80"/>
        <v>0</v>
      </c>
      <c r="AL71" s="23">
        <f t="shared" si="81"/>
        <v>0</v>
      </c>
      <c r="AM71" s="23">
        <f t="shared" si="82"/>
        <v>0</v>
      </c>
      <c r="AN71" s="23">
        <f t="shared" si="83"/>
        <v>0</v>
      </c>
      <c r="AQ71" s="32">
        <f t="shared" si="84"/>
        <v>42736</v>
      </c>
      <c r="AR71" s="32">
        <f t="shared" si="85"/>
        <v>42916</v>
      </c>
      <c r="AS71" s="52">
        <v>39</v>
      </c>
      <c r="AT71" s="1">
        <f t="shared" si="86"/>
        <v>0</v>
      </c>
      <c r="AU71" s="1">
        <f t="shared" si="87"/>
        <v>19</v>
      </c>
      <c r="AV71" s="1">
        <f t="shared" si="88"/>
        <v>0</v>
      </c>
      <c r="AW71" s="1">
        <f t="shared" si="89"/>
        <v>0</v>
      </c>
      <c r="AX71" s="1">
        <f t="shared" si="90"/>
        <v>0</v>
      </c>
      <c r="AY71" s="23">
        <f t="shared" si="91"/>
        <v>0.10497237569060773</v>
      </c>
      <c r="AZ71" s="23">
        <f t="shared" si="92"/>
        <v>0.16494314099546617</v>
      </c>
      <c r="BA71" s="23">
        <f t="shared" si="93"/>
        <v>6.4327824988231805</v>
      </c>
      <c r="BB71" s="23">
        <f t="shared" si="94"/>
        <v>16.081956247057953</v>
      </c>
      <c r="BC71" s="23">
        <f t="shared" si="95"/>
        <v>0</v>
      </c>
      <c r="BD71" s="23">
        <f t="shared" si="96"/>
        <v>16.081956247057953</v>
      </c>
    </row>
    <row r="72" spans="1:56">
      <c r="A72" s="1" t="s">
        <v>20</v>
      </c>
      <c r="B72" s="1" t="s">
        <v>28</v>
      </c>
      <c r="C72" s="1" t="s">
        <v>22</v>
      </c>
      <c r="D72" s="1" t="s">
        <v>29</v>
      </c>
      <c r="E72" s="51" t="s">
        <v>107</v>
      </c>
      <c r="F72" s="51" t="s">
        <v>108</v>
      </c>
      <c r="G72" s="51" t="s">
        <v>109</v>
      </c>
      <c r="H72" s="1" t="s">
        <v>179</v>
      </c>
      <c r="I72" s="1" t="s">
        <v>125</v>
      </c>
      <c r="J72" s="51" t="s">
        <v>112</v>
      </c>
      <c r="K72" s="51" t="s">
        <v>112</v>
      </c>
      <c r="L72" s="51" t="s">
        <v>112</v>
      </c>
      <c r="M72" s="1">
        <v>2168573</v>
      </c>
      <c r="N72" s="52" t="s">
        <v>206</v>
      </c>
      <c r="O72" s="55">
        <f t="shared" si="66"/>
        <v>42898</v>
      </c>
      <c r="P72" s="55">
        <f>DATE(2018,12,30)</f>
        <v>43464</v>
      </c>
      <c r="Q72" s="51">
        <v>1483</v>
      </c>
      <c r="S72" s="51">
        <v>2</v>
      </c>
      <c r="U72" s="1">
        <f t="shared" si="67"/>
        <v>567</v>
      </c>
      <c r="V72" s="31">
        <f t="shared" si="68"/>
        <v>2.615520282186949</v>
      </c>
      <c r="W72" s="31">
        <f t="shared" si="69"/>
        <v>954.66490299823636</v>
      </c>
      <c r="X72" s="31">
        <f t="shared" si="70"/>
        <v>1.1933311287477955</v>
      </c>
      <c r="AA72" s="32">
        <f t="shared" si="71"/>
        <v>42552</v>
      </c>
      <c r="AB72" s="32">
        <f t="shared" si="72"/>
        <v>42735</v>
      </c>
      <c r="AC72" s="1">
        <v>0</v>
      </c>
      <c r="AD72" s="1">
        <f t="shared" si="73"/>
        <v>0</v>
      </c>
      <c r="AE72" s="1">
        <f t="shared" si="74"/>
        <v>0</v>
      </c>
      <c r="AF72" s="1">
        <f t="shared" si="75"/>
        <v>0</v>
      </c>
      <c r="AG72" s="1">
        <f t="shared" si="76"/>
        <v>0</v>
      </c>
      <c r="AH72" s="1">
        <f t="shared" si="77"/>
        <v>0</v>
      </c>
      <c r="AI72" s="23">
        <f t="shared" si="78"/>
        <v>0</v>
      </c>
      <c r="AJ72" s="23">
        <f t="shared" si="79"/>
        <v>0</v>
      </c>
      <c r="AK72" s="23">
        <f t="shared" si="80"/>
        <v>0</v>
      </c>
      <c r="AL72" s="23">
        <f t="shared" si="81"/>
        <v>0</v>
      </c>
      <c r="AM72" s="23">
        <f t="shared" si="82"/>
        <v>0</v>
      </c>
      <c r="AN72" s="23">
        <f t="shared" si="83"/>
        <v>0</v>
      </c>
      <c r="AQ72" s="32">
        <f t="shared" si="84"/>
        <v>42736</v>
      </c>
      <c r="AR72" s="32">
        <f t="shared" si="85"/>
        <v>42916</v>
      </c>
      <c r="AS72" s="52">
        <v>40</v>
      </c>
      <c r="AT72" s="1">
        <f t="shared" si="86"/>
        <v>0</v>
      </c>
      <c r="AU72" s="1">
        <f t="shared" si="87"/>
        <v>19</v>
      </c>
      <c r="AV72" s="1">
        <f t="shared" si="88"/>
        <v>0</v>
      </c>
      <c r="AW72" s="1">
        <f t="shared" si="89"/>
        <v>0</v>
      </c>
      <c r="AX72" s="1">
        <f t="shared" si="90"/>
        <v>0</v>
      </c>
      <c r="AY72" s="23">
        <f t="shared" si="91"/>
        <v>0.10497237569060773</v>
      </c>
      <c r="AZ72" s="23">
        <f t="shared" si="92"/>
        <v>0.12526680357021056</v>
      </c>
      <c r="BA72" s="23">
        <f t="shared" si="93"/>
        <v>5.0106721428084224</v>
      </c>
      <c r="BB72" s="23">
        <f t="shared" si="94"/>
        <v>10.021344285616845</v>
      </c>
      <c r="BC72" s="23">
        <f t="shared" si="95"/>
        <v>0</v>
      </c>
      <c r="BD72" s="23">
        <f t="shared" si="96"/>
        <v>10.021344285616845</v>
      </c>
    </row>
    <row r="73" spans="1:56">
      <c r="A73" s="1" t="s">
        <v>20</v>
      </c>
      <c r="B73" s="1" t="s">
        <v>28</v>
      </c>
      <c r="C73" s="1" t="s">
        <v>22</v>
      </c>
      <c r="D73" s="1" t="s">
        <v>29</v>
      </c>
      <c r="E73" s="51" t="s">
        <v>107</v>
      </c>
      <c r="F73" s="51" t="s">
        <v>108</v>
      </c>
      <c r="G73" s="51" t="s">
        <v>109</v>
      </c>
      <c r="H73" s="1" t="s">
        <v>127</v>
      </c>
      <c r="I73" s="1" t="s">
        <v>128</v>
      </c>
      <c r="J73" s="51" t="s">
        <v>112</v>
      </c>
      <c r="K73" s="51" t="s">
        <v>112</v>
      </c>
      <c r="L73" s="51" t="s">
        <v>112</v>
      </c>
      <c r="M73" s="1">
        <v>2168574</v>
      </c>
      <c r="N73" s="52" t="s">
        <v>207</v>
      </c>
      <c r="O73" s="55">
        <f t="shared" si="66"/>
        <v>42898</v>
      </c>
      <c r="P73" s="55">
        <f>DATE(2020,6,30)</f>
        <v>44012</v>
      </c>
      <c r="Q73" s="51">
        <v>4120</v>
      </c>
      <c r="S73" s="51">
        <v>2.5</v>
      </c>
      <c r="U73" s="1">
        <f t="shared" si="67"/>
        <v>1115</v>
      </c>
      <c r="V73" s="31">
        <f t="shared" si="68"/>
        <v>3.695067264573991</v>
      </c>
      <c r="W73" s="31">
        <f t="shared" si="69"/>
        <v>1348.6995515695066</v>
      </c>
      <c r="X73" s="31">
        <f t="shared" si="70"/>
        <v>1.6858744394618832</v>
      </c>
      <c r="AA73" s="32">
        <f t="shared" si="71"/>
        <v>42552</v>
      </c>
      <c r="AB73" s="32">
        <f t="shared" si="72"/>
        <v>42735</v>
      </c>
      <c r="AC73" s="1">
        <v>0</v>
      </c>
      <c r="AD73" s="1">
        <f t="shared" si="73"/>
        <v>0</v>
      </c>
      <c r="AE73" s="1">
        <f t="shared" si="74"/>
        <v>0</v>
      </c>
      <c r="AF73" s="1">
        <f t="shared" si="75"/>
        <v>0</v>
      </c>
      <c r="AG73" s="1">
        <f t="shared" si="76"/>
        <v>0</v>
      </c>
      <c r="AH73" s="1">
        <f t="shared" si="77"/>
        <v>0</v>
      </c>
      <c r="AI73" s="23">
        <f t="shared" si="78"/>
        <v>0</v>
      </c>
      <c r="AJ73" s="23">
        <f t="shared" si="79"/>
        <v>0</v>
      </c>
      <c r="AK73" s="23">
        <f t="shared" si="80"/>
        <v>0</v>
      </c>
      <c r="AL73" s="23">
        <f t="shared" si="81"/>
        <v>0</v>
      </c>
      <c r="AM73" s="23">
        <f t="shared" si="82"/>
        <v>0</v>
      </c>
      <c r="AN73" s="23">
        <f t="shared" si="83"/>
        <v>0</v>
      </c>
      <c r="AQ73" s="32">
        <f t="shared" si="84"/>
        <v>42736</v>
      </c>
      <c r="AR73" s="32">
        <f t="shared" si="85"/>
        <v>42916</v>
      </c>
      <c r="AS73" s="52">
        <v>39</v>
      </c>
      <c r="AT73" s="1">
        <f t="shared" si="86"/>
        <v>0</v>
      </c>
      <c r="AU73" s="1">
        <f t="shared" si="87"/>
        <v>19</v>
      </c>
      <c r="AV73" s="1">
        <f t="shared" si="88"/>
        <v>0</v>
      </c>
      <c r="AW73" s="1">
        <f t="shared" si="89"/>
        <v>0</v>
      </c>
      <c r="AX73" s="1">
        <f t="shared" si="90"/>
        <v>0</v>
      </c>
      <c r="AY73" s="23">
        <f t="shared" si="91"/>
        <v>0.10497237569060773</v>
      </c>
      <c r="AZ73" s="23">
        <f t="shared" si="92"/>
        <v>0.17697024502638553</v>
      </c>
      <c r="BA73" s="23">
        <f t="shared" si="93"/>
        <v>6.901839556029036</v>
      </c>
      <c r="BB73" s="23">
        <f t="shared" si="94"/>
        <v>17.25459889007259</v>
      </c>
      <c r="BC73" s="23">
        <f t="shared" si="95"/>
        <v>0</v>
      </c>
      <c r="BD73" s="23">
        <f t="shared" si="96"/>
        <v>17.25459889007259</v>
      </c>
    </row>
    <row r="74" spans="1:56">
      <c r="A74" s="1" t="s">
        <v>20</v>
      </c>
      <c r="B74" s="1" t="s">
        <v>28</v>
      </c>
      <c r="C74" s="1" t="s">
        <v>22</v>
      </c>
      <c r="D74" s="1" t="s">
        <v>29</v>
      </c>
      <c r="E74" s="51" t="s">
        <v>107</v>
      </c>
      <c r="F74" s="51" t="s">
        <v>114</v>
      </c>
      <c r="G74" s="51" t="s">
        <v>109</v>
      </c>
      <c r="H74" s="1" t="s">
        <v>130</v>
      </c>
      <c r="I74" s="1" t="s">
        <v>131</v>
      </c>
      <c r="J74" s="51" t="s">
        <v>112</v>
      </c>
      <c r="K74" s="51" t="s">
        <v>112</v>
      </c>
      <c r="L74" s="51" t="s">
        <v>112</v>
      </c>
      <c r="M74" s="1">
        <v>2168575</v>
      </c>
      <c r="N74" s="52" t="s">
        <v>208</v>
      </c>
      <c r="O74" s="55">
        <f t="shared" si="66"/>
        <v>42898</v>
      </c>
      <c r="P74" s="55">
        <f>DATE(2021,6,30)</f>
        <v>44377</v>
      </c>
      <c r="Q74" s="51">
        <v>3533</v>
      </c>
      <c r="S74" s="51">
        <v>2.5</v>
      </c>
      <c r="U74" s="1">
        <f t="shared" si="67"/>
        <v>1480</v>
      </c>
      <c r="V74" s="31">
        <f t="shared" si="68"/>
        <v>2.3871621621621624</v>
      </c>
      <c r="W74" s="31">
        <f t="shared" si="69"/>
        <v>871.31418918918928</v>
      </c>
      <c r="X74" s="31">
        <f t="shared" si="70"/>
        <v>1.0891427364864865</v>
      </c>
      <c r="AA74" s="32">
        <f t="shared" si="71"/>
        <v>42552</v>
      </c>
      <c r="AB74" s="32">
        <f t="shared" si="72"/>
        <v>42735</v>
      </c>
      <c r="AC74" s="1">
        <v>0</v>
      </c>
      <c r="AD74" s="1">
        <f t="shared" si="73"/>
        <v>0</v>
      </c>
      <c r="AE74" s="1">
        <f t="shared" si="74"/>
        <v>0</v>
      </c>
      <c r="AF74" s="1">
        <f t="shared" si="75"/>
        <v>0</v>
      </c>
      <c r="AG74" s="1">
        <f t="shared" si="76"/>
        <v>0</v>
      </c>
      <c r="AH74" s="1">
        <f t="shared" si="77"/>
        <v>0</v>
      </c>
      <c r="AI74" s="23">
        <f t="shared" si="78"/>
        <v>0</v>
      </c>
      <c r="AJ74" s="23">
        <f t="shared" si="79"/>
        <v>0</v>
      </c>
      <c r="AK74" s="23">
        <f t="shared" si="80"/>
        <v>0</v>
      </c>
      <c r="AL74" s="23">
        <f t="shared" si="81"/>
        <v>0</v>
      </c>
      <c r="AM74" s="23">
        <f t="shared" si="82"/>
        <v>0</v>
      </c>
      <c r="AN74" s="23">
        <f t="shared" si="83"/>
        <v>0</v>
      </c>
      <c r="AQ74" s="32">
        <f t="shared" si="84"/>
        <v>42736</v>
      </c>
      <c r="AR74" s="32">
        <f t="shared" si="85"/>
        <v>42916</v>
      </c>
      <c r="AS74" s="52">
        <v>40</v>
      </c>
      <c r="AT74" s="1">
        <f t="shared" si="86"/>
        <v>0</v>
      </c>
      <c r="AU74" s="1">
        <f t="shared" si="87"/>
        <v>19</v>
      </c>
      <c r="AV74" s="1">
        <f t="shared" si="88"/>
        <v>0</v>
      </c>
      <c r="AW74" s="1">
        <f t="shared" si="89"/>
        <v>0</v>
      </c>
      <c r="AX74" s="1">
        <f t="shared" si="90"/>
        <v>0</v>
      </c>
      <c r="AY74" s="23">
        <f t="shared" si="91"/>
        <v>0.10497237569060773</v>
      </c>
      <c r="AZ74" s="23">
        <f t="shared" si="92"/>
        <v>0.11432990051515604</v>
      </c>
      <c r="BA74" s="23">
        <f t="shared" si="93"/>
        <v>4.5731960206062414</v>
      </c>
      <c r="BB74" s="23">
        <f t="shared" si="94"/>
        <v>11.432990051515603</v>
      </c>
      <c r="BC74" s="23">
        <f t="shared" si="95"/>
        <v>0</v>
      </c>
      <c r="BD74" s="23">
        <f t="shared" si="96"/>
        <v>11.432990051515603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30"/>
  <sheetViews>
    <sheetView topLeftCell="I2" workbookViewId="0">
      <selection activeCell="N27" sqref="N27:N30"/>
    </sheetView>
  </sheetViews>
  <sheetFormatPr defaultRowHeight="15"/>
  <cols>
    <col min="1" max="1" width="4" style="1" customWidth="1"/>
    <col min="2" max="2" width="16.28515625" style="1" customWidth="1"/>
    <col min="3" max="3" width="11" style="1" customWidth="1"/>
    <col min="4" max="4" width="20.42578125" style="1" customWidth="1"/>
    <col min="5" max="5" width="21" style="1" customWidth="1"/>
    <col min="6" max="6" width="15.28515625" style="1" customWidth="1"/>
    <col min="7" max="7" width="11" style="1" customWidth="1"/>
    <col min="8" max="8" width="41.42578125" style="1" customWidth="1"/>
    <col min="9" max="9" width="30.7109375" style="1" customWidth="1"/>
    <col min="10" max="11" width="15.7109375" style="1" customWidth="1"/>
    <col min="12" max="12" width="11" style="1" customWidth="1"/>
    <col min="13" max="13" width="12.42578125" style="1" customWidth="1"/>
    <col min="14" max="14" width="69.28515625" style="1" customWidth="1"/>
    <col min="15" max="16" width="15.7109375" style="32" customWidth="1"/>
    <col min="17" max="17" width="15.7109375" style="1" customWidth="1"/>
    <col min="18" max="18" width="10.5703125" style="1" customWidth="1"/>
    <col min="19" max="19" width="8.4257812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14" style="31" customWidth="1"/>
    <col min="27" max="27" width="13.7109375" style="32" customWidth="1"/>
    <col min="28" max="28" width="14.42578125" style="32" customWidth="1"/>
    <col min="29" max="29" width="10.5703125" style="1" customWidth="1"/>
    <col min="30" max="30" width="9.28515625" style="1" customWidth="1"/>
    <col min="31" max="31" width="7.28515625" style="1" customWidth="1"/>
    <col min="32" max="32" width="9.140625" style="1" customWidth="1"/>
    <col min="33" max="33" width="7.28515625" style="1" customWidth="1"/>
    <col min="34" max="34" width="6.85546875" style="1" customWidth="1"/>
    <col min="35" max="35" width="9.7109375" style="23" customWidth="1"/>
    <col min="36" max="36" width="9.5703125" style="23" customWidth="1"/>
    <col min="37" max="37" width="10.5703125" style="23" customWidth="1"/>
    <col min="38" max="38" width="10.42578125" style="23" customWidth="1"/>
    <col min="39" max="39" width="8" style="23" customWidth="1"/>
    <col min="40" max="40" width="9.5703125" style="23" customWidth="1"/>
    <col min="41" max="41" width="3.140625" style="23" customWidth="1"/>
    <col min="42" max="42" width="10.140625" style="23" customWidth="1"/>
    <col min="43" max="43" width="12.42578125" style="32" customWidth="1"/>
    <col min="44" max="44" width="13" style="32" customWidth="1"/>
    <col min="45" max="45" width="1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21</v>
      </c>
      <c r="C4" s="1" t="s">
        <v>22</v>
      </c>
      <c r="D4" s="1" t="s">
        <v>23</v>
      </c>
      <c r="E4" s="51" t="s">
        <v>107</v>
      </c>
      <c r="F4" s="51" t="s">
        <v>108</v>
      </c>
      <c r="G4" s="51" t="s">
        <v>109</v>
      </c>
      <c r="H4" s="1" t="s">
        <v>124</v>
      </c>
      <c r="I4" s="1" t="s">
        <v>125</v>
      </c>
      <c r="J4" s="51" t="s">
        <v>112</v>
      </c>
      <c r="K4" s="51" t="s">
        <v>112</v>
      </c>
      <c r="L4" s="51" t="s">
        <v>112</v>
      </c>
      <c r="M4" s="1">
        <v>1252963</v>
      </c>
      <c r="N4" s="56" t="s">
        <v>209</v>
      </c>
      <c r="O4" s="55">
        <f>DATE(2012,3,1)</f>
        <v>40969</v>
      </c>
      <c r="P4" s="55">
        <f>DATE(2013,7,31)</f>
        <v>41486</v>
      </c>
      <c r="Q4" s="51">
        <v>1260</v>
      </c>
      <c r="S4" s="51">
        <v>2.5</v>
      </c>
      <c r="U4" s="1">
        <f t="shared" ref="U4:U30" si="0">P4-O4+1</f>
        <v>518</v>
      </c>
      <c r="V4" s="31">
        <f t="shared" ref="V4:V30" si="1">Q4/U4</f>
        <v>2.4324324324324325</v>
      </c>
      <c r="W4" s="31">
        <f t="shared" ref="W4:W30" si="2">IF(U4&gt;365,V4*365,Q4)</f>
        <v>887.83783783783781</v>
      </c>
      <c r="X4" s="31">
        <f t="shared" ref="X4:X30" si="3">IF(U4&gt;365,W4/800,Q4/800)</f>
        <v>1.1097972972972974</v>
      </c>
      <c r="AA4" s="32">
        <f t="shared" ref="AA4:AA30" si="4">DATE(2016,7,1)</f>
        <v>42552</v>
      </c>
      <c r="AB4" s="32">
        <f t="shared" ref="AB4:AB30" si="5">DATE(2016,12,31)</f>
        <v>42735</v>
      </c>
      <c r="AC4" s="50">
        <v>6</v>
      </c>
      <c r="AD4" s="1">
        <f t="shared" ref="AD4:AD30" si="6">IF(AND(O4&lt;AA4,P4&gt;AB4),AB4-AA4+1,0)</f>
        <v>0</v>
      </c>
      <c r="AE4" s="1">
        <f t="shared" ref="AE4:AE30" si="7">IF(AND(O4&gt;=AA4,P4&gt;AB4,O4&lt;AB4),AB4-O4+1,0)</f>
        <v>0</v>
      </c>
      <c r="AF4" s="1">
        <f t="shared" ref="AF4:AF30" si="8">IF(AND(O4&lt;AA4,P4&lt;=AB4,P4&gt;=AA4),P4-AA4+1,0)</f>
        <v>0</v>
      </c>
      <c r="AG4" s="1">
        <f t="shared" ref="AG4:AG30" si="9">IF(AND(O4&gt;=AA4,P4&lt;=AB4),P4-O4+1,0)</f>
        <v>0</v>
      </c>
      <c r="AH4" s="1">
        <f t="shared" ref="AH4:AH30" si="10">IF(AND(O4&lt;AA4,P4&lt;AA4),(AB4-AA4+1)/2,0)</f>
        <v>92</v>
      </c>
      <c r="AI4" s="23">
        <f t="shared" ref="AI4:AI30" si="11">SUM(AD4:AH4)/(AB4-AA4+1)</f>
        <v>0.5</v>
      </c>
      <c r="AJ4" s="23">
        <f t="shared" ref="AJ4:AJ30" si="12">X4*AI4</f>
        <v>0.55489864864864868</v>
      </c>
      <c r="AK4" s="23">
        <f t="shared" ref="AK4:AK30" si="13">IF(AH4=0,AJ4*AC4,IF(AA4-P4&gt;1095,0,AJ4*(AC4/2)))</f>
        <v>1.6646959459459461</v>
      </c>
      <c r="AL4" s="23">
        <f t="shared" ref="AL4:AL30" si="14">AK4*S4</f>
        <v>4.1617398648648649</v>
      </c>
      <c r="AM4" s="23">
        <f t="shared" ref="AM4:AM30" si="15">IF(J4="SIM",AL4*50%,0)</f>
        <v>0</v>
      </c>
      <c r="AN4" s="23">
        <f t="shared" ref="AN4:AN30" si="16">AL4+AM4</f>
        <v>4.1617398648648649</v>
      </c>
      <c r="AQ4" s="32">
        <f t="shared" ref="AQ4:AQ30" si="17">DATE(2017,1,1)</f>
        <v>42736</v>
      </c>
      <c r="AR4" s="32">
        <f t="shared" ref="AR4:AR30" si="18">DATE(2017,6,30)</f>
        <v>42916</v>
      </c>
      <c r="AS4" s="56">
        <v>0</v>
      </c>
      <c r="AT4" s="1">
        <f t="shared" ref="AT4:AT30" si="19">IF(AND(O4&lt;AQ4,P4&gt;AR4),AR4-AQ4+1,0)</f>
        <v>0</v>
      </c>
      <c r="AU4" s="1">
        <f t="shared" ref="AU4:AU30" si="20">IF(AND(O4&gt;=AQ4,P4&gt;AR4,O4&lt;AR4),AR4-O4+1,0)</f>
        <v>0</v>
      </c>
      <c r="AV4" s="1">
        <f t="shared" ref="AV4:AV30" si="21">IF(AND(O4&lt;AQ4,P4&lt;=AR4,P4&gt;=AQ4),P4-AQ4+1,0)</f>
        <v>0</v>
      </c>
      <c r="AW4" s="1">
        <f t="shared" ref="AW4:AW30" si="22">IF(AND(O4&gt;=AQ4,P4&lt;=AR4),P4-O4+1,0)</f>
        <v>0</v>
      </c>
      <c r="AX4" s="1">
        <f t="shared" ref="AX4:AX30" si="23">IF(AND(O4&lt;AQ4,P4&lt;AQ4),(AR4-AQ4+1)/2,0)</f>
        <v>90.5</v>
      </c>
      <c r="AY4" s="23">
        <f t="shared" ref="AY4:AY30" si="24">SUM(AT4:AX4)/(AR4-AQ4+1)</f>
        <v>0.5</v>
      </c>
      <c r="AZ4" s="23">
        <f t="shared" ref="AZ4:AZ30" si="25">X4*AY4</f>
        <v>0.55489864864864868</v>
      </c>
      <c r="BA4" s="23">
        <f t="shared" ref="BA4:BA30" si="26">IF(AX4=0,AZ4*AS4,IF(AQ4-P4&gt;1095,0,AZ4*(AS4/2)))</f>
        <v>0</v>
      </c>
      <c r="BB4" s="23">
        <f t="shared" ref="BB4:BB30" si="27">BA4*S4</f>
        <v>0</v>
      </c>
      <c r="BC4" s="23">
        <f t="shared" ref="BC4:BC30" si="28">IF(J4="SIM",BB4*50%,0)</f>
        <v>0</v>
      </c>
      <c r="BD4" s="23">
        <f t="shared" ref="BD4:BD30" si="29">BB4+BC4</f>
        <v>0</v>
      </c>
    </row>
    <row r="5" spans="1:57">
      <c r="A5" s="1" t="s">
        <v>20</v>
      </c>
      <c r="B5" s="1" t="s">
        <v>21</v>
      </c>
      <c r="C5" s="1" t="s">
        <v>22</v>
      </c>
      <c r="D5" s="1" t="s">
        <v>23</v>
      </c>
      <c r="E5" s="51" t="s">
        <v>107</v>
      </c>
      <c r="F5" s="51" t="s">
        <v>108</v>
      </c>
      <c r="G5" s="51" t="s">
        <v>109</v>
      </c>
      <c r="H5" s="1" t="s">
        <v>210</v>
      </c>
      <c r="I5" s="1" t="s">
        <v>111</v>
      </c>
      <c r="J5" s="51" t="s">
        <v>112</v>
      </c>
      <c r="K5" s="51" t="s">
        <v>112</v>
      </c>
      <c r="L5" s="51" t="s">
        <v>112</v>
      </c>
      <c r="M5" s="1">
        <v>1252975</v>
      </c>
      <c r="N5" s="56" t="s">
        <v>211</v>
      </c>
      <c r="O5" s="55">
        <f>DATE(2012,3,1)</f>
        <v>40969</v>
      </c>
      <c r="P5" s="55">
        <f>DATE(2013,7,31)</f>
        <v>41486</v>
      </c>
      <c r="Q5" s="51">
        <v>1000</v>
      </c>
      <c r="S5" s="51">
        <v>1</v>
      </c>
      <c r="U5" s="1">
        <f t="shared" si="0"/>
        <v>518</v>
      </c>
      <c r="V5" s="31">
        <f t="shared" si="1"/>
        <v>1.9305019305019304</v>
      </c>
      <c r="W5" s="31">
        <f t="shared" si="2"/>
        <v>704.63320463320463</v>
      </c>
      <c r="X5" s="31">
        <f t="shared" si="3"/>
        <v>0.88079150579150578</v>
      </c>
      <c r="AA5" s="32">
        <f t="shared" si="4"/>
        <v>42552</v>
      </c>
      <c r="AB5" s="32">
        <f t="shared" si="5"/>
        <v>42735</v>
      </c>
      <c r="AC5" s="50">
        <v>9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0.44039575289575289</v>
      </c>
      <c r="AK5" s="23">
        <f t="shared" si="13"/>
        <v>1.981780888030888</v>
      </c>
      <c r="AL5" s="23">
        <f t="shared" si="14"/>
        <v>1.981780888030888</v>
      </c>
      <c r="AM5" s="23">
        <f t="shared" si="15"/>
        <v>0</v>
      </c>
      <c r="AN5" s="23">
        <f t="shared" si="16"/>
        <v>1.981780888030888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0.44039575289575289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21</v>
      </c>
      <c r="C6" s="1" t="s">
        <v>22</v>
      </c>
      <c r="D6" s="1" t="s">
        <v>23</v>
      </c>
      <c r="E6" s="51" t="s">
        <v>107</v>
      </c>
      <c r="F6" s="51" t="s">
        <v>108</v>
      </c>
      <c r="G6" s="51" t="s">
        <v>109</v>
      </c>
      <c r="H6" s="1" t="s">
        <v>124</v>
      </c>
      <c r="I6" s="1" t="s">
        <v>125</v>
      </c>
      <c r="J6" s="51" t="s">
        <v>112</v>
      </c>
      <c r="K6" s="51" t="s">
        <v>112</v>
      </c>
      <c r="L6" s="51" t="s">
        <v>112</v>
      </c>
      <c r="M6" s="1">
        <v>1252987</v>
      </c>
      <c r="N6" s="56" t="s">
        <v>212</v>
      </c>
      <c r="O6" s="55">
        <f>DATE(2012,3,2)</f>
        <v>40970</v>
      </c>
      <c r="P6" s="55">
        <f>DATE(2013,7,31)</f>
        <v>41486</v>
      </c>
      <c r="Q6" s="51">
        <v>1260</v>
      </c>
      <c r="S6" s="51">
        <v>2.5</v>
      </c>
      <c r="U6" s="1">
        <f t="shared" si="0"/>
        <v>517</v>
      </c>
      <c r="V6" s="31">
        <f t="shared" si="1"/>
        <v>2.4371373307543522</v>
      </c>
      <c r="W6" s="31">
        <f t="shared" si="2"/>
        <v>889.5551257253386</v>
      </c>
      <c r="X6" s="31">
        <f t="shared" si="3"/>
        <v>1.1119439071566732</v>
      </c>
      <c r="AA6" s="32">
        <f t="shared" si="4"/>
        <v>42552</v>
      </c>
      <c r="AB6" s="32">
        <f t="shared" si="5"/>
        <v>42735</v>
      </c>
      <c r="AC6" s="50">
        <v>6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0.55597195357833662</v>
      </c>
      <c r="AK6" s="23">
        <f t="shared" si="13"/>
        <v>1.6679158607350097</v>
      </c>
      <c r="AL6" s="23">
        <f t="shared" si="14"/>
        <v>4.1697896518375241</v>
      </c>
      <c r="AM6" s="23">
        <f t="shared" si="15"/>
        <v>0</v>
      </c>
      <c r="AN6" s="23">
        <f t="shared" si="16"/>
        <v>4.1697896518375241</v>
      </c>
      <c r="AQ6" s="32">
        <f t="shared" si="17"/>
        <v>42736</v>
      </c>
      <c r="AR6" s="32">
        <f t="shared" si="18"/>
        <v>42916</v>
      </c>
      <c r="AS6" s="56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0.55597195357833662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21</v>
      </c>
      <c r="C7" s="1" t="s">
        <v>22</v>
      </c>
      <c r="D7" s="1" t="s">
        <v>23</v>
      </c>
      <c r="E7" s="51" t="s">
        <v>107</v>
      </c>
      <c r="F7" s="51" t="s">
        <v>108</v>
      </c>
      <c r="G7" s="51" t="s">
        <v>109</v>
      </c>
      <c r="H7" s="1" t="s">
        <v>213</v>
      </c>
      <c r="I7" s="1" t="s">
        <v>214</v>
      </c>
      <c r="J7" s="51" t="s">
        <v>112</v>
      </c>
      <c r="K7" s="51" t="s">
        <v>112</v>
      </c>
      <c r="L7" s="51" t="s">
        <v>112</v>
      </c>
      <c r="M7" s="1">
        <v>1253015</v>
      </c>
      <c r="N7" s="56" t="s">
        <v>215</v>
      </c>
      <c r="O7" s="55">
        <f>DATE(2012,3,1)</f>
        <v>40969</v>
      </c>
      <c r="P7" s="55">
        <f>DATE(2013,7,31)</f>
        <v>41486</v>
      </c>
      <c r="Q7" s="51">
        <v>860</v>
      </c>
      <c r="S7" s="51">
        <v>1.5</v>
      </c>
      <c r="U7" s="1">
        <f t="shared" si="0"/>
        <v>518</v>
      </c>
      <c r="V7" s="31">
        <f t="shared" si="1"/>
        <v>1.6602316602316602</v>
      </c>
      <c r="W7" s="31">
        <f t="shared" si="2"/>
        <v>605.98455598455598</v>
      </c>
      <c r="X7" s="31">
        <f t="shared" si="3"/>
        <v>0.75748069498069492</v>
      </c>
      <c r="AA7" s="32">
        <f t="shared" si="4"/>
        <v>42552</v>
      </c>
      <c r="AB7" s="32">
        <f t="shared" si="5"/>
        <v>42735</v>
      </c>
      <c r="AC7" s="50">
        <v>10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0.37874034749034746</v>
      </c>
      <c r="AK7" s="23">
        <f t="shared" si="13"/>
        <v>1.8937017374517373</v>
      </c>
      <c r="AL7" s="23">
        <f t="shared" si="14"/>
        <v>2.8405526061776061</v>
      </c>
      <c r="AM7" s="23">
        <f t="shared" si="15"/>
        <v>0</v>
      </c>
      <c r="AN7" s="23">
        <f t="shared" si="16"/>
        <v>2.8405526061776061</v>
      </c>
      <c r="AQ7" s="32">
        <f t="shared" si="17"/>
        <v>42736</v>
      </c>
      <c r="AR7" s="32">
        <f t="shared" si="18"/>
        <v>42916</v>
      </c>
      <c r="AS7" s="56">
        <v>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0.37874034749034746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>
      <c r="A8" s="1" t="s">
        <v>20</v>
      </c>
      <c r="B8" s="1" t="s">
        <v>21</v>
      </c>
      <c r="C8" s="1" t="s">
        <v>22</v>
      </c>
      <c r="D8" s="1" t="s">
        <v>23</v>
      </c>
      <c r="E8" s="51" t="s">
        <v>107</v>
      </c>
      <c r="F8" s="51" t="s">
        <v>108</v>
      </c>
      <c r="G8" s="51" t="s">
        <v>109</v>
      </c>
      <c r="H8" s="1" t="s">
        <v>216</v>
      </c>
      <c r="I8" s="1" t="s">
        <v>111</v>
      </c>
      <c r="J8" s="51" t="s">
        <v>112</v>
      </c>
      <c r="K8" s="51" t="s">
        <v>112</v>
      </c>
      <c r="L8" s="51" t="s">
        <v>112</v>
      </c>
      <c r="M8" s="1">
        <v>1253038</v>
      </c>
      <c r="N8" s="56" t="s">
        <v>217</v>
      </c>
      <c r="O8" s="55">
        <f>DATE(2012,3,1)</f>
        <v>40969</v>
      </c>
      <c r="P8" s="55">
        <f>DATE(2013,7,31)</f>
        <v>41486</v>
      </c>
      <c r="Q8" s="51">
        <v>1000</v>
      </c>
      <c r="S8" s="51">
        <v>2</v>
      </c>
      <c r="U8" s="1">
        <f t="shared" si="0"/>
        <v>518</v>
      </c>
      <c r="V8" s="31">
        <f t="shared" si="1"/>
        <v>1.9305019305019304</v>
      </c>
      <c r="W8" s="31">
        <f t="shared" si="2"/>
        <v>704.63320463320463</v>
      </c>
      <c r="X8" s="31">
        <f t="shared" si="3"/>
        <v>0.88079150579150578</v>
      </c>
      <c r="AA8" s="32">
        <f t="shared" si="4"/>
        <v>42552</v>
      </c>
      <c r="AB8" s="32">
        <f t="shared" si="5"/>
        <v>42735</v>
      </c>
      <c r="AC8" s="50">
        <v>9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0.44039575289575289</v>
      </c>
      <c r="AK8" s="23">
        <f t="shared" si="13"/>
        <v>1.981780888030888</v>
      </c>
      <c r="AL8" s="23">
        <f t="shared" si="14"/>
        <v>3.9635617760617761</v>
      </c>
      <c r="AM8" s="23">
        <f t="shared" si="15"/>
        <v>0</v>
      </c>
      <c r="AN8" s="23">
        <f t="shared" si="16"/>
        <v>3.9635617760617761</v>
      </c>
      <c r="AQ8" s="32">
        <f t="shared" si="17"/>
        <v>42736</v>
      </c>
      <c r="AR8" s="32">
        <f t="shared" si="18"/>
        <v>42916</v>
      </c>
      <c r="AS8" s="56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0.44039575289575289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21</v>
      </c>
      <c r="C9" s="1" t="s">
        <v>22</v>
      </c>
      <c r="D9" s="1" t="s">
        <v>23</v>
      </c>
      <c r="E9" s="51" t="s">
        <v>107</v>
      </c>
      <c r="F9" s="51" t="s">
        <v>114</v>
      </c>
      <c r="G9" s="51" t="s">
        <v>109</v>
      </c>
      <c r="H9" s="1" t="s">
        <v>115</v>
      </c>
      <c r="I9" s="1" t="s">
        <v>116</v>
      </c>
      <c r="J9" s="51" t="s">
        <v>112</v>
      </c>
      <c r="K9" s="51" t="s">
        <v>112</v>
      </c>
      <c r="L9" s="51" t="s">
        <v>112</v>
      </c>
      <c r="M9" s="1">
        <v>1379152</v>
      </c>
      <c r="N9" s="50" t="s">
        <v>218</v>
      </c>
      <c r="O9" s="55">
        <f>DATE(2011,2,3)</f>
        <v>40577</v>
      </c>
      <c r="P9" s="55">
        <f>DATE(2014,12,31)</f>
        <v>42004</v>
      </c>
      <c r="Q9" s="51">
        <v>4120</v>
      </c>
      <c r="S9" s="51">
        <v>2.5</v>
      </c>
      <c r="U9" s="1">
        <f t="shared" si="0"/>
        <v>1428</v>
      </c>
      <c r="V9" s="31">
        <f t="shared" si="1"/>
        <v>2.8851540616246498</v>
      </c>
      <c r="W9" s="31">
        <f t="shared" si="2"/>
        <v>1053.0812324929973</v>
      </c>
      <c r="X9" s="31">
        <f t="shared" si="3"/>
        <v>1.3163515406162467</v>
      </c>
      <c r="AA9" s="32">
        <f t="shared" si="4"/>
        <v>42552</v>
      </c>
      <c r="AB9" s="32">
        <f t="shared" si="5"/>
        <v>42735</v>
      </c>
      <c r="AC9" s="50">
        <v>1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0.65817577030812335</v>
      </c>
      <c r="AK9" s="23">
        <f t="shared" si="13"/>
        <v>0.32908788515406168</v>
      </c>
      <c r="AL9" s="23">
        <f t="shared" si="14"/>
        <v>0.82271971288515422</v>
      </c>
      <c r="AM9" s="23">
        <f t="shared" si="15"/>
        <v>0</v>
      </c>
      <c r="AN9" s="23">
        <f t="shared" si="16"/>
        <v>0.82271971288515422</v>
      </c>
      <c r="AQ9" s="32">
        <f t="shared" si="17"/>
        <v>42736</v>
      </c>
      <c r="AR9" s="32">
        <f t="shared" si="18"/>
        <v>42916</v>
      </c>
      <c r="AS9" s="50">
        <v>1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0.65817577030812335</v>
      </c>
      <c r="BA9" s="23">
        <f t="shared" si="26"/>
        <v>0.32908788515406168</v>
      </c>
      <c r="BB9" s="23">
        <f t="shared" si="27"/>
        <v>0.82271971288515422</v>
      </c>
      <c r="BC9" s="23">
        <f t="shared" si="28"/>
        <v>0</v>
      </c>
      <c r="BD9" s="23">
        <f t="shared" si="29"/>
        <v>0.82271971288515422</v>
      </c>
    </row>
    <row r="10" spans="1:57">
      <c r="A10" s="1" t="s">
        <v>20</v>
      </c>
      <c r="B10" s="1" t="s">
        <v>21</v>
      </c>
      <c r="C10" s="1" t="s">
        <v>22</v>
      </c>
      <c r="D10" s="1" t="s">
        <v>23</v>
      </c>
      <c r="E10" s="51" t="s">
        <v>107</v>
      </c>
      <c r="F10" s="51" t="s">
        <v>114</v>
      </c>
      <c r="G10" s="51" t="s">
        <v>109</v>
      </c>
      <c r="H10" s="1" t="s">
        <v>115</v>
      </c>
      <c r="I10" s="1" t="s">
        <v>116</v>
      </c>
      <c r="J10" s="51" t="s">
        <v>112</v>
      </c>
      <c r="K10" s="51" t="s">
        <v>112</v>
      </c>
      <c r="L10" s="51" t="s">
        <v>112</v>
      </c>
      <c r="M10" s="1">
        <v>1599901</v>
      </c>
      <c r="N10" s="56" t="s">
        <v>219</v>
      </c>
      <c r="O10" s="55">
        <f>DATE(2009,7,21)</f>
        <v>40015</v>
      </c>
      <c r="P10" s="55">
        <f>DATE(2013,7,21)</f>
        <v>41476</v>
      </c>
      <c r="Q10" s="51">
        <v>3960</v>
      </c>
      <c r="S10" s="51">
        <v>2.5</v>
      </c>
      <c r="U10" s="1">
        <f t="shared" si="0"/>
        <v>1462</v>
      </c>
      <c r="V10" s="31">
        <f t="shared" si="1"/>
        <v>2.7086183310533514</v>
      </c>
      <c r="W10" s="31">
        <f t="shared" si="2"/>
        <v>988.64569083447327</v>
      </c>
      <c r="X10" s="31">
        <f t="shared" si="3"/>
        <v>1.2358071135430917</v>
      </c>
      <c r="AA10" s="32">
        <f t="shared" si="4"/>
        <v>42552</v>
      </c>
      <c r="AB10" s="32">
        <f t="shared" si="5"/>
        <v>42735</v>
      </c>
      <c r="AC10" s="50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0.61790355677154585</v>
      </c>
      <c r="AK10" s="23">
        <f t="shared" si="13"/>
        <v>0.61790355677154585</v>
      </c>
      <c r="AL10" s="23">
        <f t="shared" si="14"/>
        <v>1.5447588919288646</v>
      </c>
      <c r="AM10" s="23">
        <f t="shared" si="15"/>
        <v>0</v>
      </c>
      <c r="AN10" s="23">
        <f t="shared" si="16"/>
        <v>1.5447588919288646</v>
      </c>
      <c r="AQ10" s="32">
        <f t="shared" si="17"/>
        <v>42736</v>
      </c>
      <c r="AR10" s="32">
        <f t="shared" si="18"/>
        <v>42916</v>
      </c>
      <c r="AS10" s="56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0.61790355677154585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21</v>
      </c>
      <c r="C11" s="1" t="s">
        <v>22</v>
      </c>
      <c r="D11" s="1" t="s">
        <v>23</v>
      </c>
      <c r="E11" s="51" t="s">
        <v>107</v>
      </c>
      <c r="F11" s="51" t="s">
        <v>108</v>
      </c>
      <c r="G11" s="51" t="s">
        <v>109</v>
      </c>
      <c r="H11" s="1" t="s">
        <v>110</v>
      </c>
      <c r="I11" s="1" t="s">
        <v>111</v>
      </c>
      <c r="J11" s="51" t="s">
        <v>112</v>
      </c>
      <c r="K11" s="51" t="s">
        <v>112</v>
      </c>
      <c r="L11" s="51" t="s">
        <v>112</v>
      </c>
      <c r="M11" s="1">
        <v>1600912</v>
      </c>
      <c r="N11" s="50" t="s">
        <v>220</v>
      </c>
      <c r="O11" s="55">
        <f>DATE(2013,2,25)</f>
        <v>41330</v>
      </c>
      <c r="P11" s="55">
        <f>DATE(2014,7,31)</f>
        <v>41851</v>
      </c>
      <c r="Q11" s="51">
        <v>1240</v>
      </c>
      <c r="S11" s="51">
        <v>2</v>
      </c>
      <c r="U11" s="1">
        <f t="shared" si="0"/>
        <v>522</v>
      </c>
      <c r="V11" s="31">
        <f t="shared" si="1"/>
        <v>2.3754789272030652</v>
      </c>
      <c r="W11" s="31">
        <f t="shared" si="2"/>
        <v>867.0498084291188</v>
      </c>
      <c r="X11" s="31">
        <f t="shared" si="3"/>
        <v>1.0838122605363985</v>
      </c>
      <c r="AA11" s="32">
        <f t="shared" si="4"/>
        <v>42552</v>
      </c>
      <c r="AB11" s="32">
        <f t="shared" si="5"/>
        <v>42735</v>
      </c>
      <c r="AC11" s="50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0.54190613026819923</v>
      </c>
      <c r="AK11" s="23">
        <f t="shared" si="13"/>
        <v>0.27095306513409961</v>
      </c>
      <c r="AL11" s="23">
        <f t="shared" si="14"/>
        <v>0.54190613026819923</v>
      </c>
      <c r="AM11" s="23">
        <f t="shared" si="15"/>
        <v>0</v>
      </c>
      <c r="AN11" s="23">
        <f t="shared" si="16"/>
        <v>0.54190613026819923</v>
      </c>
      <c r="AQ11" s="32">
        <f t="shared" si="17"/>
        <v>42736</v>
      </c>
      <c r="AR11" s="32">
        <f t="shared" si="18"/>
        <v>42916</v>
      </c>
      <c r="AS11" s="50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0.54190613026819923</v>
      </c>
      <c r="BA11" s="23">
        <f t="shared" si="26"/>
        <v>0.27095306513409961</v>
      </c>
      <c r="BB11" s="23">
        <f t="shared" si="27"/>
        <v>0.54190613026819923</v>
      </c>
      <c r="BC11" s="23">
        <f t="shared" si="28"/>
        <v>0</v>
      </c>
      <c r="BD11" s="23">
        <f t="shared" si="29"/>
        <v>0.54190613026819923</v>
      </c>
    </row>
    <row r="12" spans="1:57">
      <c r="A12" s="48" t="s">
        <v>20</v>
      </c>
      <c r="B12" s="1" t="s">
        <v>21</v>
      </c>
      <c r="C12" s="1" t="s">
        <v>22</v>
      </c>
      <c r="D12" s="1" t="s">
        <v>23</v>
      </c>
      <c r="E12" s="51" t="s">
        <v>107</v>
      </c>
      <c r="F12" s="51" t="s">
        <v>108</v>
      </c>
      <c r="G12" s="51" t="s">
        <v>109</v>
      </c>
      <c r="H12" s="1" t="s">
        <v>124</v>
      </c>
      <c r="I12" s="1" t="s">
        <v>125</v>
      </c>
      <c r="J12" s="51" t="s">
        <v>112</v>
      </c>
      <c r="K12" s="51" t="s">
        <v>112</v>
      </c>
      <c r="L12" s="51" t="s">
        <v>112</v>
      </c>
      <c r="M12" s="1">
        <v>1725303</v>
      </c>
      <c r="N12" s="50" t="s">
        <v>221</v>
      </c>
      <c r="O12" s="55">
        <f>DATE(2013,2,25)</f>
        <v>41330</v>
      </c>
      <c r="P12" s="55">
        <f>DATE(2014,8,31)</f>
        <v>41882</v>
      </c>
      <c r="Q12" s="51">
        <v>1560</v>
      </c>
      <c r="S12" s="51">
        <v>2.5</v>
      </c>
      <c r="U12" s="1">
        <f t="shared" si="0"/>
        <v>553</v>
      </c>
      <c r="V12" s="31">
        <f t="shared" si="1"/>
        <v>2.8209764918625679</v>
      </c>
      <c r="W12" s="31">
        <f t="shared" si="2"/>
        <v>1029.6564195298372</v>
      </c>
      <c r="X12" s="31">
        <f t="shared" si="3"/>
        <v>1.2870705244122964</v>
      </c>
      <c r="AA12" s="32">
        <f t="shared" si="4"/>
        <v>42552</v>
      </c>
      <c r="AB12" s="32">
        <f t="shared" si="5"/>
        <v>42735</v>
      </c>
      <c r="AC12" s="50">
        <v>6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0.64353526220614821</v>
      </c>
      <c r="AK12" s="23">
        <f t="shared" si="13"/>
        <v>1.9306057866184445</v>
      </c>
      <c r="AL12" s="23">
        <f t="shared" si="14"/>
        <v>4.8265144665461115</v>
      </c>
      <c r="AM12" s="23">
        <f t="shared" si="15"/>
        <v>0</v>
      </c>
      <c r="AN12" s="23">
        <f t="shared" si="16"/>
        <v>4.8265144665461115</v>
      </c>
      <c r="AQ12" s="32">
        <f t="shared" si="17"/>
        <v>42736</v>
      </c>
      <c r="AR12" s="32">
        <f t="shared" si="18"/>
        <v>42916</v>
      </c>
      <c r="AS12" s="50">
        <v>5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0.64353526220614821</v>
      </c>
      <c r="BA12" s="23">
        <f t="shared" si="26"/>
        <v>1.6088381555153706</v>
      </c>
      <c r="BB12" s="23">
        <f t="shared" si="27"/>
        <v>4.0220953887884265</v>
      </c>
      <c r="BC12" s="23">
        <f t="shared" si="28"/>
        <v>0</v>
      </c>
      <c r="BD12" s="23">
        <f t="shared" si="29"/>
        <v>4.0220953887884265</v>
      </c>
    </row>
    <row r="13" spans="1:57">
      <c r="A13" s="1" t="s">
        <v>20</v>
      </c>
      <c r="B13" s="1" t="s">
        <v>21</v>
      </c>
      <c r="C13" s="1" t="s">
        <v>22</v>
      </c>
      <c r="D13" s="1" t="s">
        <v>23</v>
      </c>
      <c r="E13" s="51" t="s">
        <v>154</v>
      </c>
      <c r="F13" s="51" t="s">
        <v>108</v>
      </c>
      <c r="G13" s="51" t="s">
        <v>109</v>
      </c>
      <c r="H13" s="1" t="s">
        <v>169</v>
      </c>
      <c r="I13" s="1" t="s">
        <v>116</v>
      </c>
      <c r="J13" s="51" t="s">
        <v>112</v>
      </c>
      <c r="K13" s="51" t="s">
        <v>112</v>
      </c>
      <c r="L13" s="51" t="s">
        <v>148</v>
      </c>
      <c r="M13" s="1">
        <v>1970572</v>
      </c>
      <c r="N13" s="50" t="s">
        <v>222</v>
      </c>
      <c r="O13" s="55">
        <f>DATE(2014,10,1)</f>
        <v>41913</v>
      </c>
      <c r="P13" s="55">
        <f>DATE(2016,11,30)</f>
        <v>42704</v>
      </c>
      <c r="Q13" s="51">
        <v>1680</v>
      </c>
      <c r="S13" s="51">
        <v>2</v>
      </c>
      <c r="U13" s="1">
        <f t="shared" si="0"/>
        <v>792</v>
      </c>
      <c r="V13" s="31">
        <f t="shared" si="1"/>
        <v>2.1212121212121211</v>
      </c>
      <c r="W13" s="31">
        <f t="shared" si="2"/>
        <v>774.24242424242425</v>
      </c>
      <c r="X13" s="31">
        <f t="shared" si="3"/>
        <v>0.96780303030303028</v>
      </c>
      <c r="AA13" s="32">
        <f t="shared" si="4"/>
        <v>42552</v>
      </c>
      <c r="AB13" s="32">
        <f t="shared" si="5"/>
        <v>42735</v>
      </c>
      <c r="AC13" s="50">
        <v>35</v>
      </c>
      <c r="AD13" s="1">
        <f t="shared" si="6"/>
        <v>0</v>
      </c>
      <c r="AE13" s="1">
        <f t="shared" si="7"/>
        <v>0</v>
      </c>
      <c r="AF13" s="1">
        <f t="shared" si="8"/>
        <v>153</v>
      </c>
      <c r="AG13" s="1">
        <f t="shared" si="9"/>
        <v>0</v>
      </c>
      <c r="AH13" s="1">
        <f t="shared" si="10"/>
        <v>0</v>
      </c>
      <c r="AI13" s="23">
        <f t="shared" si="11"/>
        <v>0.83152173913043481</v>
      </c>
      <c r="AJ13" s="23">
        <f t="shared" si="12"/>
        <v>0.80474925889328064</v>
      </c>
      <c r="AK13" s="23">
        <f t="shared" si="13"/>
        <v>28.166224061264824</v>
      </c>
      <c r="AL13" s="23">
        <f t="shared" si="14"/>
        <v>56.332448122529648</v>
      </c>
      <c r="AM13" s="23">
        <f t="shared" si="15"/>
        <v>0</v>
      </c>
      <c r="AN13" s="23">
        <f t="shared" si="16"/>
        <v>56.332448122529648</v>
      </c>
      <c r="AQ13" s="32">
        <f t="shared" si="17"/>
        <v>42736</v>
      </c>
      <c r="AR13" s="32">
        <f t="shared" si="18"/>
        <v>42916</v>
      </c>
      <c r="AS13" s="50">
        <v>35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0.48390151515151514</v>
      </c>
      <c r="BA13" s="23">
        <f t="shared" si="26"/>
        <v>8.4682765151515156</v>
      </c>
      <c r="BB13" s="23">
        <f t="shared" si="27"/>
        <v>16.936553030303031</v>
      </c>
      <c r="BC13" s="23">
        <f t="shared" si="28"/>
        <v>0</v>
      </c>
      <c r="BD13" s="23">
        <f t="shared" si="29"/>
        <v>16.936553030303031</v>
      </c>
    </row>
    <row r="14" spans="1:57">
      <c r="A14" s="1" t="s">
        <v>20</v>
      </c>
      <c r="B14" s="1" t="s">
        <v>21</v>
      </c>
      <c r="C14" s="1" t="s">
        <v>22</v>
      </c>
      <c r="D14" s="1" t="s">
        <v>23</v>
      </c>
      <c r="E14" s="51" t="s">
        <v>154</v>
      </c>
      <c r="F14" s="51" t="s">
        <v>108</v>
      </c>
      <c r="G14" s="51" t="s">
        <v>109</v>
      </c>
      <c r="H14" s="1" t="s">
        <v>166</v>
      </c>
      <c r="I14" s="1" t="s">
        <v>167</v>
      </c>
      <c r="J14" s="51" t="s">
        <v>112</v>
      </c>
      <c r="K14" s="51" t="s">
        <v>112</v>
      </c>
      <c r="L14" s="51" t="s">
        <v>148</v>
      </c>
      <c r="M14" s="1">
        <v>1970573</v>
      </c>
      <c r="N14" s="50" t="s">
        <v>223</v>
      </c>
      <c r="O14" s="55">
        <f>DATE(2014,10,1)</f>
        <v>41913</v>
      </c>
      <c r="P14" s="55">
        <f>DATE(2016,11,30)</f>
        <v>42704</v>
      </c>
      <c r="Q14" s="51">
        <v>1680</v>
      </c>
      <c r="S14" s="51">
        <v>1.5</v>
      </c>
      <c r="U14" s="1">
        <f t="shared" si="0"/>
        <v>792</v>
      </c>
      <c r="V14" s="31">
        <f t="shared" si="1"/>
        <v>2.1212121212121211</v>
      </c>
      <c r="W14" s="31">
        <f t="shared" si="2"/>
        <v>774.24242424242425</v>
      </c>
      <c r="X14" s="31">
        <f t="shared" si="3"/>
        <v>0.96780303030303028</v>
      </c>
      <c r="AA14" s="32">
        <f t="shared" si="4"/>
        <v>42552</v>
      </c>
      <c r="AB14" s="32">
        <f t="shared" si="5"/>
        <v>42735</v>
      </c>
      <c r="AC14" s="50">
        <v>43</v>
      </c>
      <c r="AD14" s="1">
        <f t="shared" si="6"/>
        <v>0</v>
      </c>
      <c r="AE14" s="1">
        <f t="shared" si="7"/>
        <v>0</v>
      </c>
      <c r="AF14" s="1">
        <f t="shared" si="8"/>
        <v>153</v>
      </c>
      <c r="AG14" s="1">
        <f t="shared" si="9"/>
        <v>0</v>
      </c>
      <c r="AH14" s="1">
        <f t="shared" si="10"/>
        <v>0</v>
      </c>
      <c r="AI14" s="23">
        <f t="shared" si="11"/>
        <v>0.83152173913043481</v>
      </c>
      <c r="AJ14" s="23">
        <f t="shared" si="12"/>
        <v>0.80474925889328064</v>
      </c>
      <c r="AK14" s="23">
        <f t="shared" si="13"/>
        <v>34.60421813241107</v>
      </c>
      <c r="AL14" s="23">
        <f t="shared" si="14"/>
        <v>51.906327198616609</v>
      </c>
      <c r="AM14" s="23">
        <f t="shared" si="15"/>
        <v>0</v>
      </c>
      <c r="AN14" s="23">
        <f t="shared" si="16"/>
        <v>51.906327198616609</v>
      </c>
      <c r="AQ14" s="32">
        <f t="shared" si="17"/>
        <v>42736</v>
      </c>
      <c r="AR14" s="32">
        <f t="shared" si="18"/>
        <v>42916</v>
      </c>
      <c r="AS14" s="50">
        <v>42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0.48390151515151514</v>
      </c>
      <c r="BA14" s="23">
        <f t="shared" si="26"/>
        <v>10.161931818181818</v>
      </c>
      <c r="BB14" s="23">
        <f t="shared" si="27"/>
        <v>15.242897727272727</v>
      </c>
      <c r="BC14" s="23">
        <f t="shared" si="28"/>
        <v>0</v>
      </c>
      <c r="BD14" s="23">
        <f t="shared" si="29"/>
        <v>15.242897727272727</v>
      </c>
    </row>
    <row r="15" spans="1:57">
      <c r="A15" s="1" t="s">
        <v>20</v>
      </c>
      <c r="B15" s="1" t="s">
        <v>21</v>
      </c>
      <c r="C15" s="1" t="s">
        <v>22</v>
      </c>
      <c r="D15" s="1" t="s">
        <v>23</v>
      </c>
      <c r="E15" s="51" t="s">
        <v>154</v>
      </c>
      <c r="F15" s="51" t="s">
        <v>108</v>
      </c>
      <c r="G15" s="51" t="s">
        <v>109</v>
      </c>
      <c r="H15" s="1" t="s">
        <v>224</v>
      </c>
      <c r="I15" s="1" t="s">
        <v>167</v>
      </c>
      <c r="J15" s="51" t="s">
        <v>112</v>
      </c>
      <c r="K15" s="51" t="s">
        <v>112</v>
      </c>
      <c r="L15" s="51" t="s">
        <v>148</v>
      </c>
      <c r="M15" s="1">
        <v>1970574</v>
      </c>
      <c r="N15" s="50" t="s">
        <v>225</v>
      </c>
      <c r="O15" s="55">
        <f>DATE(2014,10,1)</f>
        <v>41913</v>
      </c>
      <c r="P15" s="55">
        <f>DATE(2016,11,30)</f>
        <v>42704</v>
      </c>
      <c r="Q15" s="51">
        <v>1680</v>
      </c>
      <c r="S15" s="51">
        <v>1</v>
      </c>
      <c r="U15" s="1">
        <f t="shared" si="0"/>
        <v>792</v>
      </c>
      <c r="V15" s="31">
        <f t="shared" si="1"/>
        <v>2.1212121212121211</v>
      </c>
      <c r="W15" s="31">
        <f t="shared" si="2"/>
        <v>774.24242424242425</v>
      </c>
      <c r="X15" s="31">
        <f t="shared" si="3"/>
        <v>0.96780303030303028</v>
      </c>
      <c r="AA15" s="32">
        <f t="shared" si="4"/>
        <v>42552</v>
      </c>
      <c r="AB15" s="32">
        <f t="shared" si="5"/>
        <v>42735</v>
      </c>
      <c r="AC15" s="50">
        <v>46</v>
      </c>
      <c r="AD15" s="1">
        <f t="shared" si="6"/>
        <v>0</v>
      </c>
      <c r="AE15" s="1">
        <f t="shared" si="7"/>
        <v>0</v>
      </c>
      <c r="AF15" s="1">
        <f t="shared" si="8"/>
        <v>153</v>
      </c>
      <c r="AG15" s="1">
        <f t="shared" si="9"/>
        <v>0</v>
      </c>
      <c r="AH15" s="1">
        <f t="shared" si="10"/>
        <v>0</v>
      </c>
      <c r="AI15" s="23">
        <f t="shared" si="11"/>
        <v>0.83152173913043481</v>
      </c>
      <c r="AJ15" s="23">
        <f t="shared" si="12"/>
        <v>0.80474925889328064</v>
      </c>
      <c r="AK15" s="23">
        <f t="shared" si="13"/>
        <v>37.018465909090907</v>
      </c>
      <c r="AL15" s="23">
        <f t="shared" si="14"/>
        <v>37.018465909090907</v>
      </c>
      <c r="AM15" s="23">
        <f t="shared" si="15"/>
        <v>0</v>
      </c>
      <c r="AN15" s="23">
        <f t="shared" si="16"/>
        <v>37.018465909090907</v>
      </c>
      <c r="AQ15" s="32">
        <f t="shared" si="17"/>
        <v>42736</v>
      </c>
      <c r="AR15" s="32">
        <f t="shared" si="18"/>
        <v>42916</v>
      </c>
      <c r="AS15" s="50">
        <v>40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0.48390151515151514</v>
      </c>
      <c r="BA15" s="23">
        <f t="shared" si="26"/>
        <v>9.6780303030303028</v>
      </c>
      <c r="BB15" s="23">
        <f t="shared" si="27"/>
        <v>9.6780303030303028</v>
      </c>
      <c r="BC15" s="23">
        <f t="shared" si="28"/>
        <v>0</v>
      </c>
      <c r="BD15" s="23">
        <f t="shared" si="29"/>
        <v>9.6780303030303028</v>
      </c>
    </row>
    <row r="16" spans="1:57">
      <c r="A16" s="1" t="s">
        <v>20</v>
      </c>
      <c r="B16" s="1" t="s">
        <v>21</v>
      </c>
      <c r="C16" s="1" t="s">
        <v>22</v>
      </c>
      <c r="D16" s="1" t="s">
        <v>23</v>
      </c>
      <c r="E16" s="51" t="s">
        <v>107</v>
      </c>
      <c r="F16" s="51" t="s">
        <v>108</v>
      </c>
      <c r="G16" s="51" t="s">
        <v>109</v>
      </c>
      <c r="H16" s="1" t="s">
        <v>124</v>
      </c>
      <c r="I16" s="1" t="s">
        <v>125</v>
      </c>
      <c r="J16" s="51" t="s">
        <v>112</v>
      </c>
      <c r="K16" s="51" t="s">
        <v>112</v>
      </c>
      <c r="L16" s="51" t="s">
        <v>112</v>
      </c>
      <c r="M16" s="1">
        <v>1986757</v>
      </c>
      <c r="N16" s="50" t="s">
        <v>226</v>
      </c>
      <c r="O16" s="55">
        <f>DATE(2015,5,11)</f>
        <v>42135</v>
      </c>
      <c r="P16" s="55">
        <f>DATE(2016,12,18)</f>
        <v>42722</v>
      </c>
      <c r="Q16" s="51">
        <v>1540</v>
      </c>
      <c r="S16" s="51">
        <v>2.5</v>
      </c>
      <c r="U16" s="1">
        <f t="shared" si="0"/>
        <v>588</v>
      </c>
      <c r="V16" s="31">
        <f t="shared" si="1"/>
        <v>2.6190476190476191</v>
      </c>
      <c r="W16" s="31">
        <f t="shared" si="2"/>
        <v>955.95238095238096</v>
      </c>
      <c r="X16" s="31">
        <f t="shared" si="3"/>
        <v>1.1949404761904763</v>
      </c>
      <c r="AA16" s="32">
        <f t="shared" si="4"/>
        <v>42552</v>
      </c>
      <c r="AB16" s="32">
        <f t="shared" si="5"/>
        <v>42735</v>
      </c>
      <c r="AC16" s="50">
        <v>22</v>
      </c>
      <c r="AD16" s="1">
        <f t="shared" si="6"/>
        <v>0</v>
      </c>
      <c r="AE16" s="1">
        <f t="shared" si="7"/>
        <v>0</v>
      </c>
      <c r="AF16" s="1">
        <f t="shared" si="8"/>
        <v>171</v>
      </c>
      <c r="AG16" s="1">
        <f t="shared" si="9"/>
        <v>0</v>
      </c>
      <c r="AH16" s="1">
        <f t="shared" si="10"/>
        <v>0</v>
      </c>
      <c r="AI16" s="23">
        <f t="shared" si="11"/>
        <v>0.92934782608695654</v>
      </c>
      <c r="AJ16" s="23">
        <f t="shared" si="12"/>
        <v>1.1105153338509317</v>
      </c>
      <c r="AK16" s="23">
        <f t="shared" si="13"/>
        <v>24.431337344720497</v>
      </c>
      <c r="AL16" s="23">
        <f t="shared" si="14"/>
        <v>61.078343361801245</v>
      </c>
      <c r="AM16" s="23">
        <f t="shared" si="15"/>
        <v>0</v>
      </c>
      <c r="AN16" s="23">
        <f t="shared" si="16"/>
        <v>61.078343361801245</v>
      </c>
      <c r="AQ16" s="32">
        <f t="shared" si="17"/>
        <v>42736</v>
      </c>
      <c r="AR16" s="32">
        <f t="shared" si="18"/>
        <v>42916</v>
      </c>
      <c r="AS16" s="50">
        <v>22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0.59747023809523814</v>
      </c>
      <c r="BA16" s="23">
        <f t="shared" si="26"/>
        <v>6.5721726190476195</v>
      </c>
      <c r="BB16" s="23">
        <f t="shared" si="27"/>
        <v>16.430431547619047</v>
      </c>
      <c r="BC16" s="23">
        <f t="shared" si="28"/>
        <v>0</v>
      </c>
      <c r="BD16" s="23">
        <f t="shared" si="29"/>
        <v>16.430431547619047</v>
      </c>
    </row>
    <row r="17" spans="1:56">
      <c r="A17" s="1" t="s">
        <v>20</v>
      </c>
      <c r="B17" s="1" t="s">
        <v>21</v>
      </c>
      <c r="C17" s="1" t="s">
        <v>22</v>
      </c>
      <c r="D17" s="1" t="s">
        <v>23</v>
      </c>
      <c r="E17" s="51" t="s">
        <v>107</v>
      </c>
      <c r="F17" s="51" t="s">
        <v>108</v>
      </c>
      <c r="G17" s="51" t="s">
        <v>109</v>
      </c>
      <c r="H17" s="1" t="s">
        <v>124</v>
      </c>
      <c r="I17" s="1" t="s">
        <v>125</v>
      </c>
      <c r="J17" s="51" t="s">
        <v>112</v>
      </c>
      <c r="K17" s="51" t="s">
        <v>112</v>
      </c>
      <c r="L17" s="51" t="s">
        <v>112</v>
      </c>
      <c r="M17" s="1">
        <v>1986758</v>
      </c>
      <c r="N17" s="50" t="s">
        <v>227</v>
      </c>
      <c r="O17" s="55">
        <f>DATE(2015,5,6)</f>
        <v>42130</v>
      </c>
      <c r="P17" s="55">
        <f>DATE(2016,12,18)</f>
        <v>42722</v>
      </c>
      <c r="Q17" s="51">
        <v>1540</v>
      </c>
      <c r="S17" s="51">
        <v>2.5</v>
      </c>
      <c r="U17" s="1">
        <f t="shared" si="0"/>
        <v>593</v>
      </c>
      <c r="V17" s="31">
        <f t="shared" si="1"/>
        <v>2.5969645868465432</v>
      </c>
      <c r="W17" s="31">
        <f t="shared" si="2"/>
        <v>947.89207419898821</v>
      </c>
      <c r="X17" s="31">
        <f t="shared" si="3"/>
        <v>1.1848650927487352</v>
      </c>
      <c r="AA17" s="32">
        <f t="shared" si="4"/>
        <v>42552</v>
      </c>
      <c r="AB17" s="32">
        <f t="shared" si="5"/>
        <v>42735</v>
      </c>
      <c r="AC17" s="50">
        <v>30</v>
      </c>
      <c r="AD17" s="1">
        <f t="shared" si="6"/>
        <v>0</v>
      </c>
      <c r="AE17" s="1">
        <f t="shared" si="7"/>
        <v>0</v>
      </c>
      <c r="AF17" s="1">
        <f t="shared" si="8"/>
        <v>171</v>
      </c>
      <c r="AG17" s="1">
        <f t="shared" si="9"/>
        <v>0</v>
      </c>
      <c r="AH17" s="1">
        <f t="shared" si="10"/>
        <v>0</v>
      </c>
      <c r="AI17" s="23">
        <f t="shared" si="11"/>
        <v>0.92934782608695654</v>
      </c>
      <c r="AJ17" s="23">
        <f t="shared" si="12"/>
        <v>1.1011517981523571</v>
      </c>
      <c r="AK17" s="23">
        <f t="shared" si="13"/>
        <v>33.03455394457071</v>
      </c>
      <c r="AL17" s="23">
        <f t="shared" si="14"/>
        <v>82.586384861426779</v>
      </c>
      <c r="AM17" s="23">
        <f t="shared" si="15"/>
        <v>0</v>
      </c>
      <c r="AN17" s="23">
        <f t="shared" si="16"/>
        <v>82.586384861426779</v>
      </c>
      <c r="AQ17" s="32">
        <f t="shared" si="17"/>
        <v>42736</v>
      </c>
      <c r="AR17" s="32">
        <f t="shared" si="18"/>
        <v>42916</v>
      </c>
      <c r="AS17" s="50">
        <v>30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0.5924325463743676</v>
      </c>
      <c r="BA17" s="23">
        <f t="shared" si="26"/>
        <v>8.8864881956155131</v>
      </c>
      <c r="BB17" s="23">
        <f t="shared" si="27"/>
        <v>22.216220489038783</v>
      </c>
      <c r="BC17" s="23">
        <f t="shared" si="28"/>
        <v>0</v>
      </c>
      <c r="BD17" s="23">
        <f t="shared" si="29"/>
        <v>22.216220489038783</v>
      </c>
    </row>
    <row r="18" spans="1:56">
      <c r="A18" s="1" t="s">
        <v>20</v>
      </c>
      <c r="B18" s="1" t="s">
        <v>21</v>
      </c>
      <c r="C18" s="1" t="s">
        <v>22</v>
      </c>
      <c r="D18" s="1" t="s">
        <v>23</v>
      </c>
      <c r="E18" s="51" t="s">
        <v>107</v>
      </c>
      <c r="F18" s="51" t="s">
        <v>108</v>
      </c>
      <c r="G18" s="51" t="s">
        <v>109</v>
      </c>
      <c r="H18" s="1" t="s">
        <v>110</v>
      </c>
      <c r="I18" s="1" t="s">
        <v>111</v>
      </c>
      <c r="J18" s="51" t="s">
        <v>112</v>
      </c>
      <c r="K18" s="51" t="s">
        <v>112</v>
      </c>
      <c r="L18" s="51" t="s">
        <v>112</v>
      </c>
      <c r="M18" s="1">
        <v>1986759</v>
      </c>
      <c r="N18" s="50" t="s">
        <v>228</v>
      </c>
      <c r="O18" s="55">
        <f>DATE(2015,5,11)</f>
        <v>42135</v>
      </c>
      <c r="P18" s="55">
        <f>DATE(2016,12,18)</f>
        <v>42722</v>
      </c>
      <c r="Q18" s="51">
        <v>1240</v>
      </c>
      <c r="S18" s="51">
        <v>2</v>
      </c>
      <c r="U18" s="1">
        <f t="shared" si="0"/>
        <v>588</v>
      </c>
      <c r="V18" s="31">
        <f t="shared" si="1"/>
        <v>2.1088435374149661</v>
      </c>
      <c r="W18" s="31">
        <f t="shared" si="2"/>
        <v>769.72789115646265</v>
      </c>
      <c r="X18" s="31">
        <f t="shared" si="3"/>
        <v>0.96215986394557829</v>
      </c>
      <c r="AA18" s="32">
        <f t="shared" si="4"/>
        <v>42552</v>
      </c>
      <c r="AB18" s="32">
        <f t="shared" si="5"/>
        <v>42735</v>
      </c>
      <c r="AC18" s="50">
        <v>16</v>
      </c>
      <c r="AD18" s="1">
        <f t="shared" si="6"/>
        <v>0</v>
      </c>
      <c r="AE18" s="1">
        <f t="shared" si="7"/>
        <v>0</v>
      </c>
      <c r="AF18" s="1">
        <f t="shared" si="8"/>
        <v>171</v>
      </c>
      <c r="AG18" s="1">
        <f t="shared" si="9"/>
        <v>0</v>
      </c>
      <c r="AH18" s="1">
        <f t="shared" si="10"/>
        <v>0</v>
      </c>
      <c r="AI18" s="23">
        <f t="shared" si="11"/>
        <v>0.92934782608695654</v>
      </c>
      <c r="AJ18" s="23">
        <f t="shared" si="12"/>
        <v>0.89418117790594509</v>
      </c>
      <c r="AK18" s="23">
        <f t="shared" si="13"/>
        <v>14.306898846495121</v>
      </c>
      <c r="AL18" s="23">
        <f t="shared" si="14"/>
        <v>28.613797692990243</v>
      </c>
      <c r="AM18" s="23">
        <f t="shared" si="15"/>
        <v>0</v>
      </c>
      <c r="AN18" s="23">
        <f t="shared" si="16"/>
        <v>28.613797692990243</v>
      </c>
      <c r="AQ18" s="32">
        <f t="shared" si="17"/>
        <v>42736</v>
      </c>
      <c r="AR18" s="32">
        <f t="shared" si="18"/>
        <v>42916</v>
      </c>
      <c r="AS18" s="50">
        <v>15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0.48107993197278914</v>
      </c>
      <c r="BA18" s="23">
        <f t="shared" si="26"/>
        <v>3.6080994897959187</v>
      </c>
      <c r="BB18" s="23">
        <f t="shared" si="27"/>
        <v>7.2161989795918373</v>
      </c>
      <c r="BC18" s="23">
        <f t="shared" si="28"/>
        <v>0</v>
      </c>
      <c r="BD18" s="23">
        <f t="shared" si="29"/>
        <v>7.2161989795918373</v>
      </c>
    </row>
    <row r="19" spans="1:56">
      <c r="A19" s="1" t="s">
        <v>20</v>
      </c>
      <c r="B19" s="1" t="s">
        <v>21</v>
      </c>
      <c r="C19" s="1" t="s">
        <v>22</v>
      </c>
      <c r="D19" s="1" t="s">
        <v>23</v>
      </c>
      <c r="E19" s="51" t="s">
        <v>107</v>
      </c>
      <c r="F19" s="51" t="s">
        <v>108</v>
      </c>
      <c r="G19" s="51" t="s">
        <v>109</v>
      </c>
      <c r="H19" s="1" t="s">
        <v>110</v>
      </c>
      <c r="I19" s="1" t="s">
        <v>111</v>
      </c>
      <c r="J19" s="51" t="s">
        <v>112</v>
      </c>
      <c r="K19" s="51" t="s">
        <v>112</v>
      </c>
      <c r="L19" s="51" t="s">
        <v>112</v>
      </c>
      <c r="M19" s="1">
        <v>1989604</v>
      </c>
      <c r="N19" s="50" t="s">
        <v>229</v>
      </c>
      <c r="O19" s="55">
        <f>DATE(2015,6,8)</f>
        <v>42163</v>
      </c>
      <c r="P19" s="55">
        <f>DATE(2016,12,31)</f>
        <v>42735</v>
      </c>
      <c r="Q19" s="51">
        <v>1240</v>
      </c>
      <c r="S19" s="51">
        <v>2</v>
      </c>
      <c r="U19" s="1">
        <f t="shared" si="0"/>
        <v>573</v>
      </c>
      <c r="V19" s="31">
        <f t="shared" si="1"/>
        <v>2.1640488656195465</v>
      </c>
      <c r="W19" s="31">
        <f t="shared" si="2"/>
        <v>789.87783595113444</v>
      </c>
      <c r="X19" s="31">
        <f t="shared" si="3"/>
        <v>0.98734729493891804</v>
      </c>
      <c r="AA19" s="32">
        <f t="shared" si="4"/>
        <v>42552</v>
      </c>
      <c r="AB19" s="32">
        <f t="shared" si="5"/>
        <v>42735</v>
      </c>
      <c r="AC19" s="50">
        <v>15</v>
      </c>
      <c r="AD19" s="1">
        <f t="shared" si="6"/>
        <v>0</v>
      </c>
      <c r="AE19" s="1">
        <f t="shared" si="7"/>
        <v>0</v>
      </c>
      <c r="AF19" s="1">
        <f t="shared" si="8"/>
        <v>184</v>
      </c>
      <c r="AG19" s="1">
        <f t="shared" si="9"/>
        <v>0</v>
      </c>
      <c r="AH19" s="1">
        <f t="shared" si="10"/>
        <v>0</v>
      </c>
      <c r="AI19" s="23">
        <f t="shared" si="11"/>
        <v>1</v>
      </c>
      <c r="AJ19" s="23">
        <f t="shared" si="12"/>
        <v>0.98734729493891804</v>
      </c>
      <c r="AK19" s="23">
        <f t="shared" si="13"/>
        <v>14.810209424083771</v>
      </c>
      <c r="AL19" s="23">
        <f t="shared" si="14"/>
        <v>29.620418848167542</v>
      </c>
      <c r="AM19" s="23">
        <f t="shared" si="15"/>
        <v>0</v>
      </c>
      <c r="AN19" s="23">
        <f t="shared" si="16"/>
        <v>29.620418848167542</v>
      </c>
      <c r="AQ19" s="32">
        <f t="shared" si="17"/>
        <v>42736</v>
      </c>
      <c r="AR19" s="32">
        <f t="shared" si="18"/>
        <v>42916</v>
      </c>
      <c r="AS19" s="50">
        <v>15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0.49367364746945902</v>
      </c>
      <c r="BA19" s="23">
        <f t="shared" si="26"/>
        <v>3.7025523560209428</v>
      </c>
      <c r="BB19" s="23">
        <f t="shared" si="27"/>
        <v>7.4051047120418856</v>
      </c>
      <c r="BC19" s="23">
        <f t="shared" si="28"/>
        <v>0</v>
      </c>
      <c r="BD19" s="23">
        <f t="shared" si="29"/>
        <v>7.4051047120418856</v>
      </c>
    </row>
    <row r="20" spans="1:56">
      <c r="A20" s="1" t="s">
        <v>20</v>
      </c>
      <c r="B20" s="1" t="s">
        <v>21</v>
      </c>
      <c r="C20" s="1" t="s">
        <v>22</v>
      </c>
      <c r="D20" s="1" t="s">
        <v>23</v>
      </c>
      <c r="E20" s="51" t="s">
        <v>107</v>
      </c>
      <c r="F20" s="51" t="s">
        <v>108</v>
      </c>
      <c r="G20" s="51" t="s">
        <v>109</v>
      </c>
      <c r="H20" s="1" t="s">
        <v>110</v>
      </c>
      <c r="I20" s="1" t="s">
        <v>111</v>
      </c>
      <c r="J20" s="51" t="s">
        <v>112</v>
      </c>
      <c r="K20" s="51" t="s">
        <v>112</v>
      </c>
      <c r="L20" s="51" t="s">
        <v>112</v>
      </c>
      <c r="M20" s="1">
        <v>2023549</v>
      </c>
      <c r="N20" s="51" t="s">
        <v>230</v>
      </c>
      <c r="O20" s="55">
        <f>DATE(2016,3,1)</f>
        <v>42430</v>
      </c>
      <c r="P20" s="55">
        <f>DATE(2017,6,30)</f>
        <v>42916</v>
      </c>
      <c r="Q20" s="51">
        <v>1240</v>
      </c>
      <c r="S20" s="51">
        <v>2</v>
      </c>
      <c r="U20" s="1">
        <f t="shared" si="0"/>
        <v>487</v>
      </c>
      <c r="V20" s="31">
        <f t="shared" si="1"/>
        <v>2.5462012320328542</v>
      </c>
      <c r="W20" s="31">
        <f t="shared" si="2"/>
        <v>929.36344969199183</v>
      </c>
      <c r="X20" s="31">
        <f t="shared" si="3"/>
        <v>1.1617043121149897</v>
      </c>
      <c r="AA20" s="32">
        <f t="shared" si="4"/>
        <v>42552</v>
      </c>
      <c r="AB20" s="32">
        <f t="shared" si="5"/>
        <v>42735</v>
      </c>
      <c r="AC20" s="51">
        <v>28</v>
      </c>
      <c r="AD20" s="1">
        <f t="shared" si="6"/>
        <v>184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0</v>
      </c>
      <c r="AI20" s="23">
        <f t="shared" si="11"/>
        <v>1</v>
      </c>
      <c r="AJ20" s="23">
        <f t="shared" si="12"/>
        <v>1.1617043121149897</v>
      </c>
      <c r="AK20" s="23">
        <f t="shared" si="13"/>
        <v>32.52772073921971</v>
      </c>
      <c r="AL20" s="23">
        <f t="shared" si="14"/>
        <v>65.05544147843942</v>
      </c>
      <c r="AM20" s="23">
        <f t="shared" si="15"/>
        <v>0</v>
      </c>
      <c r="AN20" s="23">
        <f t="shared" si="16"/>
        <v>65.05544147843942</v>
      </c>
      <c r="AQ20" s="32">
        <f t="shared" si="17"/>
        <v>42736</v>
      </c>
      <c r="AR20" s="32">
        <f t="shared" si="18"/>
        <v>42916</v>
      </c>
      <c r="AS20" s="51">
        <v>28</v>
      </c>
      <c r="AT20" s="1">
        <f t="shared" si="19"/>
        <v>0</v>
      </c>
      <c r="AU20" s="1">
        <f t="shared" si="20"/>
        <v>0</v>
      </c>
      <c r="AV20" s="1">
        <f t="shared" si="21"/>
        <v>181</v>
      </c>
      <c r="AW20" s="1">
        <f t="shared" si="22"/>
        <v>0</v>
      </c>
      <c r="AX20" s="1">
        <f t="shared" si="23"/>
        <v>0</v>
      </c>
      <c r="AY20" s="23">
        <f t="shared" si="24"/>
        <v>1</v>
      </c>
      <c r="AZ20" s="23">
        <f t="shared" si="25"/>
        <v>1.1617043121149897</v>
      </c>
      <c r="BA20" s="23">
        <f t="shared" si="26"/>
        <v>32.52772073921971</v>
      </c>
      <c r="BB20" s="23">
        <f t="shared" si="27"/>
        <v>65.05544147843942</v>
      </c>
      <c r="BC20" s="23">
        <f t="shared" si="28"/>
        <v>0</v>
      </c>
      <c r="BD20" s="23">
        <f t="shared" si="29"/>
        <v>65.05544147843942</v>
      </c>
    </row>
    <row r="21" spans="1:56">
      <c r="A21" s="1" t="s">
        <v>20</v>
      </c>
      <c r="B21" s="1" t="s">
        <v>21</v>
      </c>
      <c r="C21" s="1" t="s">
        <v>22</v>
      </c>
      <c r="D21" s="1" t="s">
        <v>23</v>
      </c>
      <c r="E21" s="51" t="s">
        <v>107</v>
      </c>
      <c r="F21" s="51" t="s">
        <v>108</v>
      </c>
      <c r="G21" s="51" t="s">
        <v>109</v>
      </c>
      <c r="H21" s="1" t="s">
        <v>124</v>
      </c>
      <c r="I21" s="1" t="s">
        <v>125</v>
      </c>
      <c r="J21" s="51" t="s">
        <v>112</v>
      </c>
      <c r="K21" s="51" t="s">
        <v>112</v>
      </c>
      <c r="L21" s="51" t="s">
        <v>112</v>
      </c>
      <c r="M21" s="1">
        <v>2023611</v>
      </c>
      <c r="N21" s="51" t="s">
        <v>231</v>
      </c>
      <c r="O21" s="55">
        <f>DATE(2016,3,1)</f>
        <v>42430</v>
      </c>
      <c r="P21" s="55">
        <f>DATE(2017,6,30)</f>
        <v>42916</v>
      </c>
      <c r="Q21" s="51">
        <v>1540</v>
      </c>
      <c r="S21" s="51">
        <v>2.5</v>
      </c>
      <c r="U21" s="1">
        <f t="shared" si="0"/>
        <v>487</v>
      </c>
      <c r="V21" s="31">
        <f t="shared" si="1"/>
        <v>3.162217659137577</v>
      </c>
      <c r="W21" s="31">
        <f t="shared" si="2"/>
        <v>1154.2094455852157</v>
      </c>
      <c r="X21" s="31">
        <f t="shared" si="3"/>
        <v>1.4427618069815196</v>
      </c>
      <c r="AA21" s="32">
        <f t="shared" si="4"/>
        <v>42552</v>
      </c>
      <c r="AB21" s="32">
        <f t="shared" si="5"/>
        <v>42735</v>
      </c>
      <c r="AC21" s="51">
        <v>37</v>
      </c>
      <c r="AD21" s="1">
        <f t="shared" si="6"/>
        <v>184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0</v>
      </c>
      <c r="AI21" s="23">
        <f t="shared" si="11"/>
        <v>1</v>
      </c>
      <c r="AJ21" s="23">
        <f t="shared" si="12"/>
        <v>1.4427618069815196</v>
      </c>
      <c r="AK21" s="23">
        <f t="shared" si="13"/>
        <v>53.382186858316224</v>
      </c>
      <c r="AL21" s="23">
        <f t="shared" si="14"/>
        <v>133.45546714579055</v>
      </c>
      <c r="AM21" s="23">
        <f t="shared" si="15"/>
        <v>0</v>
      </c>
      <c r="AN21" s="23">
        <f t="shared" si="16"/>
        <v>133.45546714579055</v>
      </c>
      <c r="AQ21" s="32">
        <f t="shared" si="17"/>
        <v>42736</v>
      </c>
      <c r="AR21" s="32">
        <f t="shared" si="18"/>
        <v>42916</v>
      </c>
      <c r="AS21" s="51">
        <v>37</v>
      </c>
      <c r="AT21" s="1">
        <f t="shared" si="19"/>
        <v>0</v>
      </c>
      <c r="AU21" s="1">
        <f t="shared" si="20"/>
        <v>0</v>
      </c>
      <c r="AV21" s="1">
        <f t="shared" si="21"/>
        <v>181</v>
      </c>
      <c r="AW21" s="1">
        <f t="shared" si="22"/>
        <v>0</v>
      </c>
      <c r="AX21" s="1">
        <f t="shared" si="23"/>
        <v>0</v>
      </c>
      <c r="AY21" s="23">
        <f t="shared" si="24"/>
        <v>1</v>
      </c>
      <c r="AZ21" s="23">
        <f t="shared" si="25"/>
        <v>1.4427618069815196</v>
      </c>
      <c r="BA21" s="23">
        <f t="shared" si="26"/>
        <v>53.382186858316224</v>
      </c>
      <c r="BB21" s="23">
        <f t="shared" si="27"/>
        <v>133.45546714579055</v>
      </c>
      <c r="BC21" s="23">
        <f t="shared" si="28"/>
        <v>0</v>
      </c>
      <c r="BD21" s="23">
        <f t="shared" si="29"/>
        <v>133.45546714579055</v>
      </c>
    </row>
    <row r="22" spans="1:56">
      <c r="A22" s="1" t="s">
        <v>20</v>
      </c>
      <c r="B22" s="1" t="s">
        <v>21</v>
      </c>
      <c r="C22" s="1" t="s">
        <v>22</v>
      </c>
      <c r="D22" s="1" t="s">
        <v>23</v>
      </c>
      <c r="E22" s="51" t="s">
        <v>107</v>
      </c>
      <c r="F22" s="51" t="s">
        <v>232</v>
      </c>
      <c r="G22" s="51" t="s">
        <v>109</v>
      </c>
      <c r="H22" s="1" t="s">
        <v>233</v>
      </c>
      <c r="I22" s="1" t="s">
        <v>234</v>
      </c>
      <c r="J22" s="51" t="s">
        <v>112</v>
      </c>
      <c r="K22" s="51" t="s">
        <v>112</v>
      </c>
      <c r="L22" s="51" t="s">
        <v>112</v>
      </c>
      <c r="M22" s="1">
        <v>2033568</v>
      </c>
      <c r="N22" s="50" t="s">
        <v>235</v>
      </c>
      <c r="O22" s="55">
        <f>DATE(2016,8,10)</f>
        <v>42592</v>
      </c>
      <c r="P22" s="55">
        <f>DATE(2016,12,20)</f>
        <v>42724</v>
      </c>
      <c r="Q22" s="51">
        <v>160</v>
      </c>
      <c r="S22" s="51">
        <v>1</v>
      </c>
      <c r="U22" s="1">
        <f t="shared" si="0"/>
        <v>133</v>
      </c>
      <c r="V22" s="31">
        <f t="shared" si="1"/>
        <v>1.2030075187969924</v>
      </c>
      <c r="W22" s="31">
        <f t="shared" si="2"/>
        <v>160</v>
      </c>
      <c r="X22" s="31">
        <f t="shared" si="3"/>
        <v>0.2</v>
      </c>
      <c r="AA22" s="32">
        <f t="shared" si="4"/>
        <v>42552</v>
      </c>
      <c r="AB22" s="32">
        <f t="shared" si="5"/>
        <v>42735</v>
      </c>
      <c r="AC22" s="50">
        <v>49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133</v>
      </c>
      <c r="AH22" s="1">
        <f t="shared" si="10"/>
        <v>0</v>
      </c>
      <c r="AI22" s="23">
        <f t="shared" si="11"/>
        <v>0.72282608695652173</v>
      </c>
      <c r="AJ22" s="23">
        <f t="shared" si="12"/>
        <v>0.14456521739130435</v>
      </c>
      <c r="AK22" s="23">
        <f t="shared" si="13"/>
        <v>7.0836956521739127</v>
      </c>
      <c r="AL22" s="23">
        <f t="shared" si="14"/>
        <v>7.0836956521739127</v>
      </c>
      <c r="AM22" s="23">
        <f t="shared" si="15"/>
        <v>0</v>
      </c>
      <c r="AN22" s="23">
        <f t="shared" si="16"/>
        <v>7.0836956521739127</v>
      </c>
      <c r="AQ22" s="32">
        <f t="shared" si="17"/>
        <v>42736</v>
      </c>
      <c r="AR22" s="32">
        <f t="shared" si="18"/>
        <v>42916</v>
      </c>
      <c r="AS22" s="50">
        <v>38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0.1</v>
      </c>
      <c r="BA22" s="23">
        <f t="shared" si="26"/>
        <v>1.9000000000000001</v>
      </c>
      <c r="BB22" s="23">
        <f t="shared" si="27"/>
        <v>1.9000000000000001</v>
      </c>
      <c r="BC22" s="23">
        <f t="shared" si="28"/>
        <v>0</v>
      </c>
      <c r="BD22" s="23">
        <f t="shared" si="29"/>
        <v>1.9000000000000001</v>
      </c>
    </row>
    <row r="23" spans="1:56">
      <c r="A23" s="1" t="s">
        <v>20</v>
      </c>
      <c r="B23" s="1" t="s">
        <v>21</v>
      </c>
      <c r="C23" s="1" t="s">
        <v>22</v>
      </c>
      <c r="D23" s="1" t="s">
        <v>23</v>
      </c>
      <c r="E23" s="51" t="s">
        <v>107</v>
      </c>
      <c r="F23" s="51" t="s">
        <v>232</v>
      </c>
      <c r="G23" s="51" t="s">
        <v>109</v>
      </c>
      <c r="H23" s="1" t="s">
        <v>236</v>
      </c>
      <c r="I23" s="1" t="s">
        <v>125</v>
      </c>
      <c r="J23" s="51" t="s">
        <v>112</v>
      </c>
      <c r="K23" s="51" t="s">
        <v>112</v>
      </c>
      <c r="L23" s="51" t="s">
        <v>112</v>
      </c>
      <c r="M23" s="1">
        <v>2033631</v>
      </c>
      <c r="N23" s="50" t="s">
        <v>237</v>
      </c>
      <c r="O23" s="55">
        <f>DATE(2016,8,10)</f>
        <v>42592</v>
      </c>
      <c r="P23" s="55">
        <f>DATE(2016,12,20)</f>
        <v>42724</v>
      </c>
      <c r="Q23" s="51">
        <v>160</v>
      </c>
      <c r="S23" s="51">
        <v>1</v>
      </c>
      <c r="U23" s="1">
        <f t="shared" si="0"/>
        <v>133</v>
      </c>
      <c r="V23" s="31">
        <f t="shared" si="1"/>
        <v>1.2030075187969924</v>
      </c>
      <c r="W23" s="31">
        <f t="shared" si="2"/>
        <v>160</v>
      </c>
      <c r="X23" s="31">
        <f t="shared" si="3"/>
        <v>0.2</v>
      </c>
      <c r="AA23" s="32">
        <f t="shared" si="4"/>
        <v>42552</v>
      </c>
      <c r="AB23" s="32">
        <f t="shared" si="5"/>
        <v>42735</v>
      </c>
      <c r="AC23" s="50">
        <v>36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133</v>
      </c>
      <c r="AH23" s="1">
        <f t="shared" si="10"/>
        <v>0</v>
      </c>
      <c r="AI23" s="23">
        <f t="shared" si="11"/>
        <v>0.72282608695652173</v>
      </c>
      <c r="AJ23" s="23">
        <f t="shared" si="12"/>
        <v>0.14456521739130435</v>
      </c>
      <c r="AK23" s="23">
        <f t="shared" si="13"/>
        <v>5.2043478260869565</v>
      </c>
      <c r="AL23" s="23">
        <f t="shared" si="14"/>
        <v>5.2043478260869565</v>
      </c>
      <c r="AM23" s="23">
        <f t="shared" si="15"/>
        <v>0</v>
      </c>
      <c r="AN23" s="23">
        <f t="shared" si="16"/>
        <v>5.2043478260869565</v>
      </c>
      <c r="AQ23" s="32">
        <f t="shared" si="17"/>
        <v>42736</v>
      </c>
      <c r="AR23" s="32">
        <f t="shared" si="18"/>
        <v>42916</v>
      </c>
      <c r="AS23" s="50">
        <v>31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0.1</v>
      </c>
      <c r="BA23" s="23">
        <f t="shared" si="26"/>
        <v>1.55</v>
      </c>
      <c r="BB23" s="23">
        <f t="shared" si="27"/>
        <v>1.55</v>
      </c>
      <c r="BC23" s="23">
        <f t="shared" si="28"/>
        <v>0</v>
      </c>
      <c r="BD23" s="23">
        <f t="shared" si="29"/>
        <v>1.55</v>
      </c>
    </row>
    <row r="24" spans="1:56">
      <c r="A24" s="1" t="s">
        <v>20</v>
      </c>
      <c r="B24" s="1" t="s">
        <v>21</v>
      </c>
      <c r="C24" s="1" t="s">
        <v>22</v>
      </c>
      <c r="D24" s="1" t="s">
        <v>23</v>
      </c>
      <c r="E24" s="51" t="s">
        <v>107</v>
      </c>
      <c r="F24" s="51" t="s">
        <v>232</v>
      </c>
      <c r="G24" s="51" t="s">
        <v>109</v>
      </c>
      <c r="H24" s="1" t="s">
        <v>238</v>
      </c>
      <c r="I24" s="1" t="s">
        <v>116</v>
      </c>
      <c r="J24" s="51" t="s">
        <v>112</v>
      </c>
      <c r="K24" s="51" t="s">
        <v>112</v>
      </c>
      <c r="L24" s="51" t="s">
        <v>112</v>
      </c>
      <c r="M24" s="1">
        <v>2034146</v>
      </c>
      <c r="N24" s="56" t="s">
        <v>239</v>
      </c>
      <c r="O24" s="55">
        <f>DATE(2016,7,4)</f>
        <v>42555</v>
      </c>
      <c r="P24" s="55">
        <f>DATE(2016,7,30)</f>
        <v>42581</v>
      </c>
      <c r="Q24" s="51">
        <v>160</v>
      </c>
      <c r="S24" s="51">
        <v>1</v>
      </c>
      <c r="U24" s="1">
        <f t="shared" si="0"/>
        <v>27</v>
      </c>
      <c r="V24" s="31">
        <f t="shared" si="1"/>
        <v>5.9259259259259256</v>
      </c>
      <c r="W24" s="31">
        <f t="shared" si="2"/>
        <v>160</v>
      </c>
      <c r="X24" s="31">
        <f t="shared" si="3"/>
        <v>0.2</v>
      </c>
      <c r="AA24" s="32">
        <f t="shared" si="4"/>
        <v>42552</v>
      </c>
      <c r="AB24" s="32">
        <f t="shared" si="5"/>
        <v>42735</v>
      </c>
      <c r="AC24" s="50">
        <v>27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27</v>
      </c>
      <c r="AH24" s="1">
        <f t="shared" si="10"/>
        <v>0</v>
      </c>
      <c r="AI24" s="23">
        <f t="shared" si="11"/>
        <v>0.14673913043478262</v>
      </c>
      <c r="AJ24" s="23">
        <f t="shared" si="12"/>
        <v>2.9347826086956526E-2</v>
      </c>
      <c r="AK24" s="23">
        <f t="shared" si="13"/>
        <v>0.79239130434782623</v>
      </c>
      <c r="AL24" s="23">
        <f t="shared" si="14"/>
        <v>0.79239130434782623</v>
      </c>
      <c r="AM24" s="23">
        <f t="shared" si="15"/>
        <v>0</v>
      </c>
      <c r="AN24" s="23">
        <f t="shared" si="16"/>
        <v>0.79239130434782623</v>
      </c>
      <c r="AQ24" s="32">
        <f t="shared" si="17"/>
        <v>42736</v>
      </c>
      <c r="AR24" s="32">
        <f t="shared" si="18"/>
        <v>42916</v>
      </c>
      <c r="AS24" s="56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0.1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21</v>
      </c>
      <c r="C25" s="1" t="s">
        <v>22</v>
      </c>
      <c r="D25" s="1" t="s">
        <v>23</v>
      </c>
      <c r="E25" s="51" t="s">
        <v>107</v>
      </c>
      <c r="F25" s="51" t="s">
        <v>232</v>
      </c>
      <c r="G25" s="51" t="s">
        <v>109</v>
      </c>
      <c r="H25" s="1" t="s">
        <v>240</v>
      </c>
      <c r="I25" s="1" t="s">
        <v>116</v>
      </c>
      <c r="J25" s="51" t="s">
        <v>112</v>
      </c>
      <c r="K25" s="51" t="s">
        <v>112</v>
      </c>
      <c r="L25" s="51" t="s">
        <v>112</v>
      </c>
      <c r="M25" s="1">
        <v>2034173</v>
      </c>
      <c r="N25" s="50" t="s">
        <v>241</v>
      </c>
      <c r="O25" s="55">
        <f>DATE(2016,8,10)</f>
        <v>42592</v>
      </c>
      <c r="P25" s="55">
        <f>DATE(2016,10,10)</f>
        <v>42653</v>
      </c>
      <c r="Q25" s="51">
        <v>160</v>
      </c>
      <c r="S25" s="51">
        <v>1</v>
      </c>
      <c r="U25" s="1">
        <f t="shared" si="0"/>
        <v>62</v>
      </c>
      <c r="V25" s="31">
        <f t="shared" si="1"/>
        <v>2.5806451612903225</v>
      </c>
      <c r="W25" s="31">
        <f t="shared" si="2"/>
        <v>160</v>
      </c>
      <c r="X25" s="31">
        <f t="shared" si="3"/>
        <v>0.2</v>
      </c>
      <c r="AA25" s="32">
        <f t="shared" si="4"/>
        <v>42552</v>
      </c>
      <c r="AB25" s="32">
        <f t="shared" si="5"/>
        <v>42735</v>
      </c>
      <c r="AC25" s="50">
        <v>22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62</v>
      </c>
      <c r="AH25" s="1">
        <f t="shared" si="10"/>
        <v>0</v>
      </c>
      <c r="AI25" s="23">
        <f t="shared" si="11"/>
        <v>0.33695652173913043</v>
      </c>
      <c r="AJ25" s="23">
        <f t="shared" si="12"/>
        <v>6.7391304347826086E-2</v>
      </c>
      <c r="AK25" s="23">
        <f t="shared" si="13"/>
        <v>1.482608695652174</v>
      </c>
      <c r="AL25" s="23">
        <f t="shared" si="14"/>
        <v>1.482608695652174</v>
      </c>
      <c r="AM25" s="23">
        <f t="shared" si="15"/>
        <v>0</v>
      </c>
      <c r="AN25" s="23">
        <f t="shared" si="16"/>
        <v>1.482608695652174</v>
      </c>
      <c r="AQ25" s="32">
        <f t="shared" si="17"/>
        <v>42736</v>
      </c>
      <c r="AR25" s="32">
        <f t="shared" si="18"/>
        <v>42916</v>
      </c>
      <c r="AS25" s="50">
        <v>22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0.1</v>
      </c>
      <c r="BA25" s="23">
        <f t="shared" si="26"/>
        <v>1.1000000000000001</v>
      </c>
      <c r="BB25" s="23">
        <f t="shared" si="27"/>
        <v>1.1000000000000001</v>
      </c>
      <c r="BC25" s="23">
        <f t="shared" si="28"/>
        <v>0</v>
      </c>
      <c r="BD25" s="23">
        <f t="shared" si="29"/>
        <v>1.1000000000000001</v>
      </c>
    </row>
    <row r="26" spans="1:56">
      <c r="A26" s="1" t="s">
        <v>20</v>
      </c>
      <c r="B26" s="1" t="s">
        <v>21</v>
      </c>
      <c r="C26" s="1" t="s">
        <v>22</v>
      </c>
      <c r="D26" s="1" t="s">
        <v>23</v>
      </c>
      <c r="E26" s="51" t="s">
        <v>107</v>
      </c>
      <c r="F26" s="51" t="s">
        <v>232</v>
      </c>
      <c r="G26" s="51" t="s">
        <v>109</v>
      </c>
      <c r="H26" s="1" t="s">
        <v>242</v>
      </c>
      <c r="I26" s="1" t="s">
        <v>111</v>
      </c>
      <c r="J26" s="51" t="s">
        <v>112</v>
      </c>
      <c r="K26" s="51" t="s">
        <v>112</v>
      </c>
      <c r="L26" s="51" t="s">
        <v>112</v>
      </c>
      <c r="M26" s="1">
        <v>2034207</v>
      </c>
      <c r="N26" s="50" t="s">
        <v>243</v>
      </c>
      <c r="O26" s="55">
        <f>DATE(2016,8,10)</f>
        <v>42592</v>
      </c>
      <c r="P26" s="55">
        <f>DATE(2016,12,20)</f>
        <v>42724</v>
      </c>
      <c r="Q26" s="51">
        <v>160</v>
      </c>
      <c r="S26" s="51">
        <v>1</v>
      </c>
      <c r="U26" s="1">
        <f t="shared" si="0"/>
        <v>133</v>
      </c>
      <c r="V26" s="31">
        <f t="shared" si="1"/>
        <v>1.2030075187969924</v>
      </c>
      <c r="W26" s="31">
        <f t="shared" si="2"/>
        <v>160</v>
      </c>
      <c r="X26" s="31">
        <f t="shared" si="3"/>
        <v>0.2</v>
      </c>
      <c r="AA26" s="32">
        <f t="shared" si="4"/>
        <v>42552</v>
      </c>
      <c r="AB26" s="32">
        <f t="shared" si="5"/>
        <v>42735</v>
      </c>
      <c r="AC26" s="50">
        <v>29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133</v>
      </c>
      <c r="AH26" s="1">
        <f t="shared" si="10"/>
        <v>0</v>
      </c>
      <c r="AI26" s="23">
        <f t="shared" si="11"/>
        <v>0.72282608695652173</v>
      </c>
      <c r="AJ26" s="23">
        <f t="shared" si="12"/>
        <v>0.14456521739130435</v>
      </c>
      <c r="AK26" s="23">
        <f t="shared" si="13"/>
        <v>4.1923913043478258</v>
      </c>
      <c r="AL26" s="23">
        <f t="shared" si="14"/>
        <v>4.1923913043478258</v>
      </c>
      <c r="AM26" s="23">
        <f t="shared" si="15"/>
        <v>0</v>
      </c>
      <c r="AN26" s="23">
        <f t="shared" si="16"/>
        <v>4.1923913043478258</v>
      </c>
      <c r="AQ26" s="32">
        <f t="shared" si="17"/>
        <v>42736</v>
      </c>
      <c r="AR26" s="32">
        <f t="shared" si="18"/>
        <v>42916</v>
      </c>
      <c r="AS26" s="50">
        <v>29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0.1</v>
      </c>
      <c r="BA26" s="23">
        <f t="shared" si="26"/>
        <v>1.4500000000000002</v>
      </c>
      <c r="BB26" s="23">
        <f t="shared" si="27"/>
        <v>1.4500000000000002</v>
      </c>
      <c r="BC26" s="23">
        <f t="shared" si="28"/>
        <v>0</v>
      </c>
      <c r="BD26" s="23">
        <f t="shared" si="29"/>
        <v>1.4500000000000002</v>
      </c>
    </row>
    <row r="27" spans="1:56">
      <c r="A27" s="1" t="s">
        <v>20</v>
      </c>
      <c r="B27" s="1" t="s">
        <v>21</v>
      </c>
      <c r="C27" s="1" t="s">
        <v>22</v>
      </c>
      <c r="D27" s="1" t="s">
        <v>23</v>
      </c>
      <c r="E27" s="51" t="s">
        <v>107</v>
      </c>
      <c r="F27" s="51" t="s">
        <v>232</v>
      </c>
      <c r="G27" s="51" t="s">
        <v>109</v>
      </c>
      <c r="H27" s="1" t="s">
        <v>242</v>
      </c>
      <c r="I27" s="1" t="s">
        <v>111</v>
      </c>
      <c r="J27" s="51" t="s">
        <v>112</v>
      </c>
      <c r="K27" s="51" t="s">
        <v>112</v>
      </c>
      <c r="L27" s="51" t="s">
        <v>112</v>
      </c>
      <c r="M27" s="1">
        <v>2159353</v>
      </c>
      <c r="N27" s="51" t="s">
        <v>244</v>
      </c>
      <c r="O27" s="55">
        <f>DATE(2017,4,24)</f>
        <v>42849</v>
      </c>
      <c r="P27" s="55">
        <f>DATE(2017,7,31)</f>
        <v>42947</v>
      </c>
      <c r="Q27" s="51">
        <v>160</v>
      </c>
      <c r="S27" s="51">
        <v>1</v>
      </c>
      <c r="U27" s="1">
        <f t="shared" si="0"/>
        <v>99</v>
      </c>
      <c r="V27" s="31">
        <f t="shared" si="1"/>
        <v>1.6161616161616161</v>
      </c>
      <c r="W27" s="31">
        <f t="shared" si="2"/>
        <v>160</v>
      </c>
      <c r="X27" s="31">
        <f t="shared" si="3"/>
        <v>0.2</v>
      </c>
      <c r="AA27" s="32">
        <f t="shared" si="4"/>
        <v>42552</v>
      </c>
      <c r="AB27" s="32">
        <f t="shared" si="5"/>
        <v>42735</v>
      </c>
      <c r="AC27" s="1">
        <v>0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0</v>
      </c>
      <c r="AJ27" s="23">
        <f t="shared" si="12"/>
        <v>0</v>
      </c>
      <c r="AK27" s="23">
        <f t="shared" si="13"/>
        <v>0</v>
      </c>
      <c r="AL27" s="23">
        <f t="shared" si="14"/>
        <v>0</v>
      </c>
      <c r="AM27" s="23">
        <f t="shared" si="15"/>
        <v>0</v>
      </c>
      <c r="AN27" s="23">
        <f t="shared" si="16"/>
        <v>0</v>
      </c>
      <c r="AQ27" s="32">
        <f t="shared" si="17"/>
        <v>42736</v>
      </c>
      <c r="AR27" s="32">
        <f t="shared" si="18"/>
        <v>42916</v>
      </c>
      <c r="AS27" s="51">
        <v>29</v>
      </c>
      <c r="AT27" s="1">
        <f t="shared" si="19"/>
        <v>0</v>
      </c>
      <c r="AU27" s="1">
        <f t="shared" si="20"/>
        <v>68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0.37569060773480661</v>
      </c>
      <c r="AZ27" s="23">
        <f t="shared" si="25"/>
        <v>7.5138121546961326E-2</v>
      </c>
      <c r="BA27" s="23">
        <f t="shared" si="26"/>
        <v>2.1790055248618785</v>
      </c>
      <c r="BB27" s="23">
        <f t="shared" si="27"/>
        <v>2.1790055248618785</v>
      </c>
      <c r="BC27" s="23">
        <f t="shared" si="28"/>
        <v>0</v>
      </c>
      <c r="BD27" s="23">
        <f t="shared" si="29"/>
        <v>2.1790055248618785</v>
      </c>
    </row>
    <row r="28" spans="1:56">
      <c r="A28" s="1" t="s">
        <v>20</v>
      </c>
      <c r="B28" s="1" t="s">
        <v>21</v>
      </c>
      <c r="C28" s="1" t="s">
        <v>22</v>
      </c>
      <c r="D28" s="1" t="s">
        <v>23</v>
      </c>
      <c r="E28" s="51" t="s">
        <v>107</v>
      </c>
      <c r="F28" s="51" t="s">
        <v>232</v>
      </c>
      <c r="G28" s="51" t="s">
        <v>109</v>
      </c>
      <c r="H28" s="1" t="s">
        <v>236</v>
      </c>
      <c r="I28" s="1" t="s">
        <v>125</v>
      </c>
      <c r="J28" s="51" t="s">
        <v>112</v>
      </c>
      <c r="K28" s="51" t="s">
        <v>112</v>
      </c>
      <c r="L28" s="51" t="s">
        <v>112</v>
      </c>
      <c r="M28" s="1">
        <v>2159393</v>
      </c>
      <c r="N28" s="51" t="s">
        <v>245</v>
      </c>
      <c r="O28" s="55">
        <f>DATE(2017,4,24)</f>
        <v>42849</v>
      </c>
      <c r="P28" s="55">
        <f>DATE(2017,7,31)</f>
        <v>42947</v>
      </c>
      <c r="Q28" s="51">
        <v>160</v>
      </c>
      <c r="S28" s="51">
        <v>1</v>
      </c>
      <c r="U28" s="1">
        <f t="shared" si="0"/>
        <v>99</v>
      </c>
      <c r="V28" s="31">
        <f t="shared" si="1"/>
        <v>1.6161616161616161</v>
      </c>
      <c r="W28" s="31">
        <f t="shared" si="2"/>
        <v>160</v>
      </c>
      <c r="X28" s="31">
        <f t="shared" si="3"/>
        <v>0.2</v>
      </c>
      <c r="AA28" s="32">
        <f t="shared" si="4"/>
        <v>42552</v>
      </c>
      <c r="AB28" s="32">
        <f t="shared" si="5"/>
        <v>42735</v>
      </c>
      <c r="AC28" s="1">
        <v>0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0</v>
      </c>
      <c r="AJ28" s="23">
        <f t="shared" si="12"/>
        <v>0</v>
      </c>
      <c r="AK28" s="23">
        <f t="shared" si="13"/>
        <v>0</v>
      </c>
      <c r="AL28" s="23">
        <f t="shared" si="14"/>
        <v>0</v>
      </c>
      <c r="AM28" s="23">
        <f t="shared" si="15"/>
        <v>0</v>
      </c>
      <c r="AN28" s="23">
        <f t="shared" si="16"/>
        <v>0</v>
      </c>
      <c r="AQ28" s="32">
        <f t="shared" si="17"/>
        <v>42736</v>
      </c>
      <c r="AR28" s="32">
        <f t="shared" si="18"/>
        <v>42916</v>
      </c>
      <c r="AS28" s="51">
        <v>32</v>
      </c>
      <c r="AT28" s="1">
        <f t="shared" si="19"/>
        <v>0</v>
      </c>
      <c r="AU28" s="1">
        <f t="shared" si="20"/>
        <v>68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0.37569060773480661</v>
      </c>
      <c r="AZ28" s="23">
        <f t="shared" si="25"/>
        <v>7.5138121546961326E-2</v>
      </c>
      <c r="BA28" s="23">
        <f t="shared" si="26"/>
        <v>2.4044198895027624</v>
      </c>
      <c r="BB28" s="23">
        <f t="shared" si="27"/>
        <v>2.4044198895027624</v>
      </c>
      <c r="BC28" s="23">
        <f t="shared" si="28"/>
        <v>0</v>
      </c>
      <c r="BD28" s="23">
        <f t="shared" si="29"/>
        <v>2.4044198895027624</v>
      </c>
    </row>
    <row r="29" spans="1:56">
      <c r="A29" s="1" t="s">
        <v>20</v>
      </c>
      <c r="B29" s="1" t="s">
        <v>21</v>
      </c>
      <c r="C29" s="1" t="s">
        <v>22</v>
      </c>
      <c r="D29" s="1" t="s">
        <v>23</v>
      </c>
      <c r="E29" s="51" t="s">
        <v>107</v>
      </c>
      <c r="F29" s="51" t="s">
        <v>232</v>
      </c>
      <c r="G29" s="51" t="s">
        <v>109</v>
      </c>
      <c r="H29" s="1" t="s">
        <v>238</v>
      </c>
      <c r="I29" s="1" t="s">
        <v>116</v>
      </c>
      <c r="J29" s="51" t="s">
        <v>112</v>
      </c>
      <c r="K29" s="51" t="s">
        <v>112</v>
      </c>
      <c r="L29" s="51" t="s">
        <v>112</v>
      </c>
      <c r="M29" s="1">
        <v>2159614</v>
      </c>
      <c r="N29" s="51" t="s">
        <v>246</v>
      </c>
      <c r="O29" s="55">
        <f>DATE(2017,4,24)</f>
        <v>42849</v>
      </c>
      <c r="P29" s="55">
        <f>DATE(2017,7,31)</f>
        <v>42947</v>
      </c>
      <c r="Q29" s="51">
        <v>160</v>
      </c>
      <c r="S29" s="51">
        <v>1</v>
      </c>
      <c r="U29" s="1">
        <f t="shared" si="0"/>
        <v>99</v>
      </c>
      <c r="V29" s="31">
        <f t="shared" si="1"/>
        <v>1.6161616161616161</v>
      </c>
      <c r="W29" s="31">
        <f t="shared" si="2"/>
        <v>160</v>
      </c>
      <c r="X29" s="31">
        <f t="shared" si="3"/>
        <v>0.2</v>
      </c>
      <c r="AA29" s="32">
        <f t="shared" si="4"/>
        <v>42552</v>
      </c>
      <c r="AB29" s="32">
        <f t="shared" si="5"/>
        <v>42735</v>
      </c>
      <c r="AC29" s="1">
        <v>0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Q29" s="32">
        <f t="shared" si="17"/>
        <v>42736</v>
      </c>
      <c r="AR29" s="32">
        <f t="shared" si="18"/>
        <v>42916</v>
      </c>
      <c r="AS29" s="51">
        <v>24</v>
      </c>
      <c r="AT29" s="1">
        <f t="shared" si="19"/>
        <v>0</v>
      </c>
      <c r="AU29" s="1">
        <f t="shared" si="20"/>
        <v>68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0.37569060773480661</v>
      </c>
      <c r="AZ29" s="23">
        <f t="shared" si="25"/>
        <v>7.5138121546961326E-2</v>
      </c>
      <c r="BA29" s="23">
        <f t="shared" si="26"/>
        <v>1.8033149171270719</v>
      </c>
      <c r="BB29" s="23">
        <f t="shared" si="27"/>
        <v>1.8033149171270719</v>
      </c>
      <c r="BC29" s="23">
        <f t="shared" si="28"/>
        <v>0</v>
      </c>
      <c r="BD29" s="23">
        <f t="shared" si="29"/>
        <v>1.8033149171270719</v>
      </c>
    </row>
    <row r="30" spans="1:56">
      <c r="A30" s="1" t="s">
        <v>20</v>
      </c>
      <c r="B30" s="1" t="s">
        <v>21</v>
      </c>
      <c r="C30" s="1" t="s">
        <v>22</v>
      </c>
      <c r="D30" s="1" t="s">
        <v>23</v>
      </c>
      <c r="E30" s="51" t="s">
        <v>107</v>
      </c>
      <c r="F30" s="51" t="s">
        <v>232</v>
      </c>
      <c r="G30" s="51" t="s">
        <v>109</v>
      </c>
      <c r="H30" s="1" t="s">
        <v>247</v>
      </c>
      <c r="J30" s="51" t="s">
        <v>112</v>
      </c>
      <c r="K30" s="51" t="s">
        <v>112</v>
      </c>
      <c r="L30" s="51" t="s">
        <v>112</v>
      </c>
      <c r="M30" s="1">
        <v>2164914</v>
      </c>
      <c r="N30" s="51" t="s">
        <v>248</v>
      </c>
      <c r="O30" s="55">
        <f>DATE(2017,4,24)</f>
        <v>42849</v>
      </c>
      <c r="P30" s="55">
        <f>DATE(2017,7,31)</f>
        <v>42947</v>
      </c>
      <c r="Q30" s="51">
        <v>160</v>
      </c>
      <c r="S30" s="51">
        <v>1</v>
      </c>
      <c r="U30" s="1">
        <f t="shared" si="0"/>
        <v>99</v>
      </c>
      <c r="V30" s="31">
        <f t="shared" si="1"/>
        <v>1.6161616161616161</v>
      </c>
      <c r="W30" s="31">
        <f t="shared" si="2"/>
        <v>160</v>
      </c>
      <c r="X30" s="31">
        <f t="shared" si="3"/>
        <v>0.2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51">
        <v>29</v>
      </c>
      <c r="AT30" s="1">
        <f t="shared" si="19"/>
        <v>0</v>
      </c>
      <c r="AU30" s="1">
        <f t="shared" si="20"/>
        <v>68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0.37569060773480661</v>
      </c>
      <c r="AZ30" s="23">
        <f t="shared" si="25"/>
        <v>7.5138121546961326E-2</v>
      </c>
      <c r="BA30" s="23">
        <f t="shared" si="26"/>
        <v>2.1790055248618785</v>
      </c>
      <c r="BB30" s="23">
        <f t="shared" si="27"/>
        <v>2.1790055248618785</v>
      </c>
      <c r="BC30" s="23">
        <f t="shared" si="28"/>
        <v>0</v>
      </c>
      <c r="BD30" s="23">
        <f t="shared" si="29"/>
        <v>2.1790055248618785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2"/>
  <sheetViews>
    <sheetView topLeftCell="L2" workbookViewId="0">
      <selection activeCell="N11" sqref="N11"/>
    </sheetView>
  </sheetViews>
  <sheetFormatPr defaultRowHeight="15"/>
  <cols>
    <col min="1" max="1" width="4" style="1" customWidth="1"/>
    <col min="2" max="2" width="20.28515625" style="1" customWidth="1"/>
    <col min="3" max="3" width="12.28515625" style="1" customWidth="1"/>
    <col min="4" max="4" width="25.42578125" style="1" customWidth="1"/>
    <col min="5" max="5" width="21" style="1" customWidth="1"/>
    <col min="6" max="6" width="15.28515625" style="1" customWidth="1"/>
    <col min="7" max="7" width="11" style="1" customWidth="1"/>
    <col min="8" max="8" width="39.855468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7" width="15.7109375" style="1" customWidth="1"/>
    <col min="18" max="18" width="10.140625" style="1" customWidth="1"/>
    <col min="19" max="19" width="7.855468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12.7109375" style="31" customWidth="1"/>
    <col min="27" max="27" width="14.7109375" style="32" customWidth="1"/>
    <col min="28" max="28" width="13.7109375" style="32" customWidth="1"/>
    <col min="29" max="29" width="11" style="1" customWidth="1"/>
    <col min="30" max="30" width="8.85546875" style="1" customWidth="1"/>
    <col min="31" max="31" width="12.85546875" style="1" customWidth="1"/>
    <col min="32" max="32" width="10" style="1" customWidth="1"/>
    <col min="33" max="33" width="12.28515625" style="1" customWidth="1"/>
    <col min="34" max="34" width="11.28515625" style="1" customWidth="1"/>
    <col min="35" max="36" width="10.85546875" style="23" customWidth="1"/>
    <col min="37" max="37" width="10.7109375" style="23" customWidth="1"/>
    <col min="38" max="38" width="10.28515625" style="23" customWidth="1"/>
    <col min="39" max="39" width="12.140625" style="23" customWidth="1"/>
    <col min="40" max="40" width="11.7109375" style="23" customWidth="1"/>
    <col min="41" max="41" width="3.140625" style="23" customWidth="1"/>
    <col min="42" max="42" width="11.5703125" style="23" customWidth="1"/>
    <col min="43" max="43" width="11" style="32" customWidth="1"/>
    <col min="44" max="44" width="12.140625" style="32" customWidth="1"/>
    <col min="45" max="45" width="13.570312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25</v>
      </c>
      <c r="C4" s="1" t="s">
        <v>22</v>
      </c>
      <c r="D4" s="1" t="s">
        <v>26</v>
      </c>
      <c r="E4" s="51" t="s">
        <v>154</v>
      </c>
      <c r="F4" s="51" t="s">
        <v>108</v>
      </c>
      <c r="G4" s="51" t="s">
        <v>109</v>
      </c>
      <c r="H4" s="1" t="s">
        <v>224</v>
      </c>
      <c r="I4" s="1" t="s">
        <v>167</v>
      </c>
      <c r="J4" s="51" t="s">
        <v>112</v>
      </c>
      <c r="K4" s="51" t="s">
        <v>112</v>
      </c>
      <c r="L4" s="51" t="s">
        <v>148</v>
      </c>
      <c r="M4" s="1">
        <v>1972134</v>
      </c>
      <c r="N4" s="50" t="s">
        <v>249</v>
      </c>
      <c r="O4" s="55">
        <f>DATE(2014,10,1)</f>
        <v>41913</v>
      </c>
      <c r="P4" s="55">
        <f>DATE(2016,11,30)</f>
        <v>42704</v>
      </c>
      <c r="Q4" s="51">
        <v>1680</v>
      </c>
      <c r="S4" s="51">
        <v>1</v>
      </c>
      <c r="U4" s="1">
        <f t="shared" ref="U4:U10" si="0">P4-O4+1</f>
        <v>792</v>
      </c>
      <c r="V4" s="31">
        <f t="shared" ref="V4:V10" si="1">Q4/U4</f>
        <v>2.1212121212121211</v>
      </c>
      <c r="W4" s="31">
        <f t="shared" ref="W4:W10" si="2">IF(U4&gt;365,V4*365,Q4)</f>
        <v>774.24242424242425</v>
      </c>
      <c r="X4" s="31">
        <f t="shared" ref="X4:X10" si="3">IF(U4&gt;365,W4/800,Q4/800)</f>
        <v>0.96780303030303028</v>
      </c>
      <c r="AA4" s="32">
        <f t="shared" ref="AA4:AA10" si="4">DATE(2016,7,1)</f>
        <v>42552</v>
      </c>
      <c r="AB4" s="32">
        <f t="shared" ref="AB4:AB10" si="5">DATE(2016,12,31)</f>
        <v>42735</v>
      </c>
      <c r="AC4" s="50">
        <v>40</v>
      </c>
      <c r="AD4" s="1">
        <f t="shared" ref="AD4:AD10" si="6">IF(AND(O4&lt;AA4,P4&gt;AB4),AB4-AA4+1,0)</f>
        <v>0</v>
      </c>
      <c r="AE4" s="1">
        <f t="shared" ref="AE4:AE10" si="7">IF(AND(O4&gt;=AA4,P4&gt;AB4,O4&lt;AB4),AB4-O4+1,0)</f>
        <v>0</v>
      </c>
      <c r="AF4" s="1">
        <f t="shared" ref="AF4:AF10" si="8">IF(AND(O4&lt;AA4,P4&lt;=AB4,P4&gt;=AA4),P4-AA4+1,0)</f>
        <v>153</v>
      </c>
      <c r="AG4" s="1">
        <f t="shared" ref="AG4:AG10" si="9">IF(AND(O4&gt;=AA4,P4&lt;=AB4),P4-O4+1,0)</f>
        <v>0</v>
      </c>
      <c r="AH4" s="1">
        <f t="shared" ref="AH4:AH10" si="10">IF(AND(O4&lt;AA4,P4&lt;AA4),(AB4-AA4+1)/2,0)</f>
        <v>0</v>
      </c>
      <c r="AI4" s="23">
        <f t="shared" ref="AI4:AI10" si="11">SUM(AD4:AH4)/(AB4-AA4+1)</f>
        <v>0.83152173913043481</v>
      </c>
      <c r="AJ4" s="23">
        <f t="shared" ref="AJ4:AJ10" si="12">X4*AI4</f>
        <v>0.80474925889328064</v>
      </c>
      <c r="AK4" s="23">
        <f t="shared" ref="AK4:AK10" si="13">IF(AH4=0,AJ4*AC4,IF(AA4-P4&gt;1095,0,AJ4*(AC4/2)))</f>
        <v>32.189970355731226</v>
      </c>
      <c r="AL4" s="23">
        <f t="shared" ref="AL4:AL10" si="14">AK4*S4</f>
        <v>32.189970355731226</v>
      </c>
      <c r="AM4" s="23">
        <f t="shared" ref="AM4:AM10" si="15">IF(J4="SIM",AL4*50%,0)</f>
        <v>0</v>
      </c>
      <c r="AN4" s="23">
        <f t="shared" ref="AN4:AN10" si="16">AL4+AM4</f>
        <v>32.189970355731226</v>
      </c>
      <c r="AQ4" s="32">
        <f t="shared" ref="AQ4:AQ10" si="17">DATE(2017,1,1)</f>
        <v>42736</v>
      </c>
      <c r="AR4" s="32">
        <f t="shared" ref="AR4:AR10" si="18">DATE(2017,6,30)</f>
        <v>42916</v>
      </c>
      <c r="AS4" s="50">
        <v>40</v>
      </c>
      <c r="AT4" s="1">
        <f t="shared" ref="AT4:AT10" si="19">IF(AND(O4&lt;AQ4,P4&gt;AR4),AR4-AQ4+1,0)</f>
        <v>0</v>
      </c>
      <c r="AU4" s="1">
        <f t="shared" ref="AU4:AU10" si="20">IF(AND(O4&gt;=AQ4,P4&gt;AR4,O4&lt;AR4),AR4-O4+1,0)</f>
        <v>0</v>
      </c>
      <c r="AV4" s="1">
        <f t="shared" ref="AV4:AV10" si="21">IF(AND(O4&lt;AQ4,P4&lt;=AR4,P4&gt;=AQ4),P4-AQ4+1,0)</f>
        <v>0</v>
      </c>
      <c r="AW4" s="1">
        <f t="shared" ref="AW4:AW10" si="22">IF(AND(O4&gt;=AQ4,P4&lt;=AR4),P4-O4+1,0)</f>
        <v>0</v>
      </c>
      <c r="AX4" s="1">
        <f t="shared" ref="AX4:AX10" si="23">IF(AND(O4&lt;AQ4,P4&lt;AQ4),(AR4-AQ4+1)/2,0)</f>
        <v>90.5</v>
      </c>
      <c r="AY4" s="23">
        <f t="shared" ref="AY4:AY10" si="24">SUM(AT4:AX4)/(AR4-AQ4+1)</f>
        <v>0.5</v>
      </c>
      <c r="AZ4" s="23">
        <f t="shared" ref="AZ4:AZ10" si="25">X4*AY4</f>
        <v>0.48390151515151514</v>
      </c>
      <c r="BA4" s="23">
        <f t="shared" ref="BA4:BA10" si="26">IF(AX4=0,AZ4*AS4,IF(AQ4-P4&gt;1095,0,AZ4*(AS4/2)))</f>
        <v>9.6780303030303028</v>
      </c>
      <c r="BB4" s="23">
        <f t="shared" ref="BB4:BB10" si="27">BA4*S4</f>
        <v>9.6780303030303028</v>
      </c>
      <c r="BC4" s="23">
        <f t="shared" ref="BC4:BC10" si="28">IF(J4="SIM",BB4*50%,0)</f>
        <v>0</v>
      </c>
      <c r="BD4" s="23">
        <f t="shared" ref="BD4:BD10" si="29">BB4+BC4</f>
        <v>9.6780303030303028</v>
      </c>
    </row>
    <row r="5" spans="1:57">
      <c r="A5" s="1" t="s">
        <v>20</v>
      </c>
      <c r="B5" s="1" t="s">
        <v>25</v>
      </c>
      <c r="C5" s="1" t="s">
        <v>22</v>
      </c>
      <c r="D5" s="1" t="s">
        <v>26</v>
      </c>
      <c r="E5" s="51" t="s">
        <v>154</v>
      </c>
      <c r="F5" s="51" t="s">
        <v>108</v>
      </c>
      <c r="G5" s="51" t="s">
        <v>109</v>
      </c>
      <c r="H5" s="1" t="s">
        <v>169</v>
      </c>
      <c r="I5" s="1" t="s">
        <v>116</v>
      </c>
      <c r="J5" s="51" t="s">
        <v>112</v>
      </c>
      <c r="K5" s="51" t="s">
        <v>112</v>
      </c>
      <c r="L5" s="51" t="s">
        <v>148</v>
      </c>
      <c r="M5" s="1">
        <v>1972135</v>
      </c>
      <c r="N5" s="50" t="s">
        <v>250</v>
      </c>
      <c r="O5" s="55">
        <f>DATE(2014,10,1)</f>
        <v>41913</v>
      </c>
      <c r="P5" s="55">
        <f>DATE(2016,11,30)</f>
        <v>42704</v>
      </c>
      <c r="Q5" s="51">
        <v>1680</v>
      </c>
      <c r="S5" s="51">
        <v>2</v>
      </c>
      <c r="U5" s="1">
        <f t="shared" si="0"/>
        <v>792</v>
      </c>
      <c r="V5" s="31">
        <f t="shared" si="1"/>
        <v>2.1212121212121211</v>
      </c>
      <c r="W5" s="31">
        <f t="shared" si="2"/>
        <v>774.24242424242425</v>
      </c>
      <c r="X5" s="31">
        <f t="shared" si="3"/>
        <v>0.96780303030303028</v>
      </c>
      <c r="AA5" s="32">
        <f t="shared" si="4"/>
        <v>42552</v>
      </c>
      <c r="AB5" s="32">
        <f t="shared" si="5"/>
        <v>42735</v>
      </c>
      <c r="AC5" s="50">
        <v>30</v>
      </c>
      <c r="AD5" s="1">
        <f t="shared" si="6"/>
        <v>0</v>
      </c>
      <c r="AE5" s="1">
        <f t="shared" si="7"/>
        <v>0</v>
      </c>
      <c r="AF5" s="1">
        <f t="shared" si="8"/>
        <v>153</v>
      </c>
      <c r="AG5" s="1">
        <f t="shared" si="9"/>
        <v>0</v>
      </c>
      <c r="AH5" s="1">
        <f t="shared" si="10"/>
        <v>0</v>
      </c>
      <c r="AI5" s="23">
        <f t="shared" si="11"/>
        <v>0.83152173913043481</v>
      </c>
      <c r="AJ5" s="23">
        <f t="shared" si="12"/>
        <v>0.80474925889328064</v>
      </c>
      <c r="AK5" s="23">
        <f t="shared" si="13"/>
        <v>24.142477766798418</v>
      </c>
      <c r="AL5" s="23">
        <f t="shared" si="14"/>
        <v>48.284955533596836</v>
      </c>
      <c r="AM5" s="23">
        <f t="shared" si="15"/>
        <v>0</v>
      </c>
      <c r="AN5" s="23">
        <f t="shared" si="16"/>
        <v>48.284955533596836</v>
      </c>
      <c r="AQ5" s="32">
        <f t="shared" si="17"/>
        <v>42736</v>
      </c>
      <c r="AR5" s="32">
        <f t="shared" si="18"/>
        <v>42916</v>
      </c>
      <c r="AS5" s="50">
        <v>30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0.48390151515151514</v>
      </c>
      <c r="BA5" s="23">
        <f t="shared" si="26"/>
        <v>7.2585227272727266</v>
      </c>
      <c r="BB5" s="23">
        <f t="shared" si="27"/>
        <v>14.517045454545453</v>
      </c>
      <c r="BC5" s="23">
        <f t="shared" si="28"/>
        <v>0</v>
      </c>
      <c r="BD5" s="23">
        <f t="shared" si="29"/>
        <v>14.517045454545453</v>
      </c>
    </row>
    <row r="6" spans="1:57">
      <c r="A6" s="1" t="s">
        <v>20</v>
      </c>
      <c r="B6" s="1" t="s">
        <v>25</v>
      </c>
      <c r="C6" s="1" t="s">
        <v>22</v>
      </c>
      <c r="D6" s="1" t="s">
        <v>26</v>
      </c>
      <c r="E6" s="51" t="s">
        <v>107</v>
      </c>
      <c r="F6" s="51" t="s">
        <v>108</v>
      </c>
      <c r="G6" s="51" t="s">
        <v>109</v>
      </c>
      <c r="H6" s="1" t="s">
        <v>110</v>
      </c>
      <c r="I6" s="1" t="s">
        <v>111</v>
      </c>
      <c r="J6" s="51" t="s">
        <v>112</v>
      </c>
      <c r="K6" s="51" t="s">
        <v>112</v>
      </c>
      <c r="L6" s="51" t="s">
        <v>112</v>
      </c>
      <c r="M6" s="1">
        <v>1972805</v>
      </c>
      <c r="N6" s="50" t="s">
        <v>251</v>
      </c>
      <c r="O6" s="55">
        <f>DATE(2014,11,24)</f>
        <v>41967</v>
      </c>
      <c r="P6" s="55">
        <f>DATE(2016,6,30)</f>
        <v>42551</v>
      </c>
      <c r="Q6" s="51">
        <v>1208</v>
      </c>
      <c r="S6" s="51">
        <v>2</v>
      </c>
      <c r="U6" s="1">
        <f t="shared" si="0"/>
        <v>585</v>
      </c>
      <c r="V6" s="31">
        <f t="shared" si="1"/>
        <v>2.0649572649572652</v>
      </c>
      <c r="W6" s="31">
        <f t="shared" si="2"/>
        <v>753.70940170940173</v>
      </c>
      <c r="X6" s="31">
        <f t="shared" si="3"/>
        <v>0.94213675213675219</v>
      </c>
      <c r="AA6" s="32">
        <f t="shared" si="4"/>
        <v>42552</v>
      </c>
      <c r="AB6" s="32">
        <f t="shared" si="5"/>
        <v>42735</v>
      </c>
      <c r="AC6" s="50">
        <v>80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0.47106837606837609</v>
      </c>
      <c r="AK6" s="23">
        <f t="shared" si="13"/>
        <v>18.842735042735043</v>
      </c>
      <c r="AL6" s="23">
        <f t="shared" si="14"/>
        <v>37.685470085470087</v>
      </c>
      <c r="AM6" s="23">
        <f t="shared" si="15"/>
        <v>0</v>
      </c>
      <c r="AN6" s="23">
        <f t="shared" si="16"/>
        <v>37.685470085470087</v>
      </c>
      <c r="AQ6" s="32">
        <f t="shared" si="17"/>
        <v>42736</v>
      </c>
      <c r="AR6" s="32">
        <f t="shared" si="18"/>
        <v>42916</v>
      </c>
      <c r="AS6" s="50">
        <v>80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0.47106837606837609</v>
      </c>
      <c r="BA6" s="23">
        <f t="shared" si="26"/>
        <v>18.842735042735043</v>
      </c>
      <c r="BB6" s="23">
        <f t="shared" si="27"/>
        <v>37.685470085470087</v>
      </c>
      <c r="BC6" s="23">
        <f t="shared" si="28"/>
        <v>0</v>
      </c>
      <c r="BD6" s="23">
        <f t="shared" si="29"/>
        <v>37.685470085470087</v>
      </c>
    </row>
    <row r="7" spans="1:57">
      <c r="A7" s="1" t="s">
        <v>20</v>
      </c>
      <c r="B7" s="1" t="s">
        <v>25</v>
      </c>
      <c r="C7" s="1" t="s">
        <v>22</v>
      </c>
      <c r="D7" s="1" t="s">
        <v>26</v>
      </c>
      <c r="E7" s="51" t="s">
        <v>107</v>
      </c>
      <c r="F7" s="51" t="s">
        <v>108</v>
      </c>
      <c r="G7" s="51" t="s">
        <v>109</v>
      </c>
      <c r="H7" s="1" t="s">
        <v>161</v>
      </c>
      <c r="I7" s="1" t="s">
        <v>131</v>
      </c>
      <c r="J7" s="51" t="s">
        <v>112</v>
      </c>
      <c r="K7" s="51" t="s">
        <v>112</v>
      </c>
      <c r="L7" s="51" t="s">
        <v>112</v>
      </c>
      <c r="M7" s="1">
        <v>1972806</v>
      </c>
      <c r="N7" s="50" t="s">
        <v>252</v>
      </c>
      <c r="O7" s="55">
        <f>DATE(2014,11,24)</f>
        <v>41967</v>
      </c>
      <c r="P7" s="55">
        <f>DATE(2016,6,30)</f>
        <v>42551</v>
      </c>
      <c r="Q7" s="51">
        <v>1420</v>
      </c>
      <c r="S7" s="51">
        <v>2.5</v>
      </c>
      <c r="U7" s="1">
        <f t="shared" si="0"/>
        <v>585</v>
      </c>
      <c r="V7" s="31">
        <f t="shared" si="1"/>
        <v>2.4273504273504272</v>
      </c>
      <c r="W7" s="31">
        <f t="shared" si="2"/>
        <v>885.98290598290589</v>
      </c>
      <c r="X7" s="31">
        <f t="shared" si="3"/>
        <v>1.1074786324786323</v>
      </c>
      <c r="AA7" s="32">
        <f t="shared" si="4"/>
        <v>42552</v>
      </c>
      <c r="AB7" s="32">
        <f t="shared" si="5"/>
        <v>42735</v>
      </c>
      <c r="AC7" s="50">
        <v>82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0.55373931623931616</v>
      </c>
      <c r="AK7" s="23">
        <f t="shared" si="13"/>
        <v>22.703311965811963</v>
      </c>
      <c r="AL7" s="23">
        <f t="shared" si="14"/>
        <v>56.758279914529908</v>
      </c>
      <c r="AM7" s="23">
        <f t="shared" si="15"/>
        <v>0</v>
      </c>
      <c r="AN7" s="23">
        <f t="shared" si="16"/>
        <v>56.758279914529908</v>
      </c>
      <c r="AQ7" s="32">
        <f t="shared" si="17"/>
        <v>42736</v>
      </c>
      <c r="AR7" s="32">
        <f t="shared" si="18"/>
        <v>42916</v>
      </c>
      <c r="AS7" s="50">
        <v>82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0.55373931623931616</v>
      </c>
      <c r="BA7" s="23">
        <f t="shared" si="26"/>
        <v>22.703311965811963</v>
      </c>
      <c r="BB7" s="23">
        <f t="shared" si="27"/>
        <v>56.758279914529908</v>
      </c>
      <c r="BC7" s="23">
        <f t="shared" si="28"/>
        <v>0</v>
      </c>
      <c r="BD7" s="23">
        <f t="shared" si="29"/>
        <v>56.758279914529908</v>
      </c>
    </row>
    <row r="8" spans="1:57">
      <c r="A8" s="1" t="s">
        <v>20</v>
      </c>
      <c r="B8" s="1" t="s">
        <v>25</v>
      </c>
      <c r="C8" s="1" t="s">
        <v>22</v>
      </c>
      <c r="D8" s="1" t="s">
        <v>26</v>
      </c>
      <c r="E8" s="51" t="s">
        <v>107</v>
      </c>
      <c r="F8" s="51" t="s">
        <v>108</v>
      </c>
      <c r="G8" s="51" t="s">
        <v>109</v>
      </c>
      <c r="H8" s="1" t="s">
        <v>110</v>
      </c>
      <c r="I8" s="1" t="s">
        <v>111</v>
      </c>
      <c r="J8" s="51" t="s">
        <v>112</v>
      </c>
      <c r="K8" s="51" t="s">
        <v>112</v>
      </c>
      <c r="L8" s="51" t="s">
        <v>112</v>
      </c>
      <c r="M8" s="1">
        <v>2136513</v>
      </c>
      <c r="N8" s="52" t="s">
        <v>253</v>
      </c>
      <c r="O8" s="55">
        <f>DATE(2016,9,12)</f>
        <v>42625</v>
      </c>
      <c r="P8" s="55">
        <f>DATE(2018,4,30)</f>
        <v>43220</v>
      </c>
      <c r="Q8" s="51">
        <v>1400</v>
      </c>
      <c r="S8" s="51">
        <v>2</v>
      </c>
      <c r="U8" s="1">
        <f t="shared" si="0"/>
        <v>596</v>
      </c>
      <c r="V8" s="31">
        <f t="shared" si="1"/>
        <v>2.348993288590604</v>
      </c>
      <c r="W8" s="31">
        <f t="shared" si="2"/>
        <v>857.3825503355705</v>
      </c>
      <c r="X8" s="31">
        <f t="shared" si="3"/>
        <v>1.0717281879194631</v>
      </c>
      <c r="AA8" s="32">
        <f t="shared" si="4"/>
        <v>42552</v>
      </c>
      <c r="AB8" s="32">
        <f t="shared" si="5"/>
        <v>42735</v>
      </c>
      <c r="AC8" s="52">
        <v>79</v>
      </c>
      <c r="AD8" s="1">
        <f t="shared" si="6"/>
        <v>0</v>
      </c>
      <c r="AE8" s="1">
        <f t="shared" si="7"/>
        <v>111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0.60326086956521741</v>
      </c>
      <c r="AJ8" s="23">
        <f t="shared" si="12"/>
        <v>0.64653167858185001</v>
      </c>
      <c r="AK8" s="23">
        <f t="shared" si="13"/>
        <v>51.076002607966153</v>
      </c>
      <c r="AL8" s="23">
        <f t="shared" si="14"/>
        <v>102.15200521593231</v>
      </c>
      <c r="AM8" s="23">
        <f t="shared" si="15"/>
        <v>0</v>
      </c>
      <c r="AN8" s="23">
        <f t="shared" si="16"/>
        <v>102.15200521593231</v>
      </c>
      <c r="AQ8" s="32">
        <f t="shared" si="17"/>
        <v>42736</v>
      </c>
      <c r="AR8" s="32">
        <f t="shared" si="18"/>
        <v>42916</v>
      </c>
      <c r="AS8" s="52">
        <v>79</v>
      </c>
      <c r="AT8" s="1">
        <f t="shared" si="19"/>
        <v>181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0</v>
      </c>
      <c r="AY8" s="23">
        <f t="shared" si="24"/>
        <v>1</v>
      </c>
      <c r="AZ8" s="23">
        <f t="shared" si="25"/>
        <v>1.0717281879194631</v>
      </c>
      <c r="BA8" s="23">
        <f t="shared" si="26"/>
        <v>84.666526845637591</v>
      </c>
      <c r="BB8" s="23">
        <f t="shared" si="27"/>
        <v>169.33305369127518</v>
      </c>
      <c r="BC8" s="23">
        <f t="shared" si="28"/>
        <v>0</v>
      </c>
      <c r="BD8" s="23">
        <f t="shared" si="29"/>
        <v>169.33305369127518</v>
      </c>
    </row>
    <row r="9" spans="1:57">
      <c r="A9" s="1" t="s">
        <v>20</v>
      </c>
      <c r="B9" s="1" t="s">
        <v>25</v>
      </c>
      <c r="C9" s="1" t="s">
        <v>22</v>
      </c>
      <c r="D9" s="1" t="s">
        <v>26</v>
      </c>
      <c r="E9" s="51" t="s">
        <v>107</v>
      </c>
      <c r="F9" s="51" t="s">
        <v>108</v>
      </c>
      <c r="G9" s="51" t="s">
        <v>109</v>
      </c>
      <c r="H9" s="1" t="s">
        <v>136</v>
      </c>
      <c r="I9" s="1" t="s">
        <v>131</v>
      </c>
      <c r="J9" s="51" t="s">
        <v>112</v>
      </c>
      <c r="K9" s="51" t="s">
        <v>112</v>
      </c>
      <c r="L9" s="51" t="s">
        <v>112</v>
      </c>
      <c r="M9" s="1">
        <v>2136567</v>
      </c>
      <c r="N9" s="51" t="s">
        <v>254</v>
      </c>
      <c r="O9" s="55">
        <f>DATE(2016,9,12)</f>
        <v>42625</v>
      </c>
      <c r="P9" s="55">
        <f>DATE(2017,10,31)</f>
        <v>43039</v>
      </c>
      <c r="Q9" s="51">
        <v>1200</v>
      </c>
      <c r="S9" s="51">
        <v>1</v>
      </c>
      <c r="U9" s="1">
        <f t="shared" si="0"/>
        <v>415</v>
      </c>
      <c r="V9" s="31">
        <f t="shared" si="1"/>
        <v>2.8915662650602409</v>
      </c>
      <c r="W9" s="31">
        <f t="shared" si="2"/>
        <v>1055.4216867469879</v>
      </c>
      <c r="X9" s="31">
        <f t="shared" si="3"/>
        <v>1.3192771084337349</v>
      </c>
      <c r="AA9" s="32">
        <f t="shared" si="4"/>
        <v>42552</v>
      </c>
      <c r="AB9" s="32">
        <f t="shared" si="5"/>
        <v>42735</v>
      </c>
      <c r="AC9" s="51">
        <v>67</v>
      </c>
      <c r="AD9" s="1">
        <f t="shared" si="6"/>
        <v>0</v>
      </c>
      <c r="AE9" s="1">
        <f t="shared" si="7"/>
        <v>111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0.60326086956521741</v>
      </c>
      <c r="AJ9" s="23">
        <f t="shared" si="12"/>
        <v>0.79586825563122054</v>
      </c>
      <c r="AK9" s="23">
        <f t="shared" si="13"/>
        <v>53.323173127291774</v>
      </c>
      <c r="AL9" s="23">
        <f t="shared" si="14"/>
        <v>53.323173127291774</v>
      </c>
      <c r="AM9" s="23">
        <f t="shared" si="15"/>
        <v>0</v>
      </c>
      <c r="AN9" s="23">
        <f t="shared" si="16"/>
        <v>53.323173127291774</v>
      </c>
      <c r="AQ9" s="32">
        <f t="shared" si="17"/>
        <v>42736</v>
      </c>
      <c r="AR9" s="32">
        <f t="shared" si="18"/>
        <v>42916</v>
      </c>
      <c r="AS9" s="51">
        <v>67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1.3192771084337349</v>
      </c>
      <c r="BA9" s="23">
        <f t="shared" si="26"/>
        <v>88.391566265060234</v>
      </c>
      <c r="BB9" s="23">
        <f t="shared" si="27"/>
        <v>88.391566265060234</v>
      </c>
      <c r="BC9" s="23">
        <f t="shared" si="28"/>
        <v>0</v>
      </c>
      <c r="BD9" s="23">
        <f t="shared" si="29"/>
        <v>88.391566265060234</v>
      </c>
    </row>
    <row r="10" spans="1:57">
      <c r="A10" s="1" t="s">
        <v>20</v>
      </c>
      <c r="B10" s="1" t="s">
        <v>25</v>
      </c>
      <c r="C10" s="1" t="s">
        <v>22</v>
      </c>
      <c r="D10" s="1" t="s">
        <v>26</v>
      </c>
      <c r="E10" s="51" t="s">
        <v>107</v>
      </c>
      <c r="F10" s="51" t="s">
        <v>108</v>
      </c>
      <c r="G10" s="51" t="s">
        <v>109</v>
      </c>
      <c r="H10" s="1" t="s">
        <v>161</v>
      </c>
      <c r="I10" s="1" t="s">
        <v>131</v>
      </c>
      <c r="J10" s="51" t="s">
        <v>112</v>
      </c>
      <c r="K10" s="51" t="s">
        <v>112</v>
      </c>
      <c r="L10" s="51" t="s">
        <v>112</v>
      </c>
      <c r="M10" s="1">
        <v>2136603</v>
      </c>
      <c r="N10" s="52" t="s">
        <v>255</v>
      </c>
      <c r="O10" s="55">
        <f>DATE(2016,9,12)</f>
        <v>42625</v>
      </c>
      <c r="P10" s="55">
        <f>DATE(2018,4,30)</f>
        <v>43220</v>
      </c>
      <c r="Q10" s="51">
        <v>1440</v>
      </c>
      <c r="S10" s="51">
        <v>2.5</v>
      </c>
      <c r="U10" s="1">
        <f t="shared" si="0"/>
        <v>596</v>
      </c>
      <c r="V10" s="31">
        <f t="shared" si="1"/>
        <v>2.4161073825503356</v>
      </c>
      <c r="W10" s="31">
        <f t="shared" si="2"/>
        <v>881.87919463087246</v>
      </c>
      <c r="X10" s="31">
        <f t="shared" si="3"/>
        <v>1.1023489932885906</v>
      </c>
      <c r="AA10" s="32">
        <f t="shared" si="4"/>
        <v>42552</v>
      </c>
      <c r="AB10" s="32">
        <f t="shared" si="5"/>
        <v>42735</v>
      </c>
      <c r="AC10" s="52">
        <v>76</v>
      </c>
      <c r="AD10" s="1">
        <f t="shared" si="6"/>
        <v>0</v>
      </c>
      <c r="AE10" s="1">
        <f t="shared" si="7"/>
        <v>111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0.60326086956521741</v>
      </c>
      <c r="AJ10" s="23">
        <f t="shared" si="12"/>
        <v>0.66500401225561712</v>
      </c>
      <c r="AK10" s="23">
        <f t="shared" si="13"/>
        <v>50.540304931426903</v>
      </c>
      <c r="AL10" s="23">
        <f t="shared" si="14"/>
        <v>126.35076232856726</v>
      </c>
      <c r="AM10" s="23">
        <f t="shared" si="15"/>
        <v>0</v>
      </c>
      <c r="AN10" s="23">
        <f t="shared" si="16"/>
        <v>126.35076232856726</v>
      </c>
      <c r="AQ10" s="32">
        <f t="shared" si="17"/>
        <v>42736</v>
      </c>
      <c r="AR10" s="32">
        <f t="shared" si="18"/>
        <v>42916</v>
      </c>
      <c r="AS10" s="52">
        <v>76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1.1023489932885906</v>
      </c>
      <c r="BA10" s="23">
        <f t="shared" si="26"/>
        <v>83.77852348993288</v>
      </c>
      <c r="BB10" s="23">
        <f t="shared" si="27"/>
        <v>209.44630872483219</v>
      </c>
      <c r="BC10" s="23">
        <f t="shared" si="28"/>
        <v>0</v>
      </c>
      <c r="BD10" s="23">
        <f t="shared" si="29"/>
        <v>209.44630872483219</v>
      </c>
    </row>
    <row r="12" spans="1:57">
      <c r="A12" s="48"/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320"/>
  <sheetViews>
    <sheetView topLeftCell="I257" workbookViewId="0">
      <selection activeCell="N257" sqref="N257"/>
    </sheetView>
  </sheetViews>
  <sheetFormatPr defaultRowHeight="15"/>
  <cols>
    <col min="1" max="1" width="4" style="1" customWidth="1"/>
    <col min="2" max="2" width="12" style="1" customWidth="1"/>
    <col min="3" max="3" width="9.7109375" style="1" customWidth="1"/>
    <col min="4" max="4" width="22.855468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7" width="10.5703125" style="1" customWidth="1"/>
    <col min="18" max="18" width="7.140625" style="1" customWidth="1"/>
    <col min="19" max="19" width="9.85546875" style="1" customWidth="1"/>
    <col min="20" max="20" width="2.7109375" style="1" customWidth="1"/>
    <col min="21" max="21" width="11.5703125" style="1" customWidth="1"/>
    <col min="22" max="22" width="9" style="31" customWidth="1"/>
    <col min="23" max="23" width="11.42578125" style="31" customWidth="1"/>
    <col min="24" max="24" width="9.28515625" style="31" customWidth="1"/>
    <col min="25" max="25" width="2.5703125" style="31" customWidth="1"/>
    <col min="26" max="26" width="6.42578125" style="31" customWidth="1"/>
    <col min="27" max="27" width="10.7109375" style="32" bestFit="1" customWidth="1"/>
    <col min="28" max="28" width="11.140625" style="32" bestFit="1" customWidth="1"/>
    <col min="29" max="29" width="8.28515625" style="1" customWidth="1"/>
    <col min="30" max="30" width="9.28515625" style="1" customWidth="1"/>
    <col min="31" max="31" width="9" style="1" customWidth="1"/>
    <col min="32" max="32" width="8.42578125" style="1" customWidth="1"/>
    <col min="33" max="33" width="7.140625" style="1" customWidth="1"/>
    <col min="34" max="34" width="8.5703125" style="1" customWidth="1"/>
    <col min="35" max="35" width="9.42578125" style="23" customWidth="1"/>
    <col min="36" max="36" width="8.140625" style="23" customWidth="1"/>
    <col min="37" max="37" width="8.5703125" style="23" customWidth="1"/>
    <col min="38" max="38" width="9.42578125" style="23" customWidth="1"/>
    <col min="39" max="39" width="9" style="23" bestFit="1" customWidth="1"/>
    <col min="40" max="40" width="10" style="23" bestFit="1" customWidth="1"/>
    <col min="41" max="41" width="2.5703125" style="23" customWidth="1"/>
    <col min="42" max="42" width="8.5703125" style="23" bestFit="1" customWidth="1"/>
    <col min="43" max="43" width="10.7109375" style="32" customWidth="1"/>
    <col min="44" max="44" width="12.42578125" style="32" customWidth="1"/>
    <col min="45" max="45" width="9.7109375" style="1" customWidth="1"/>
    <col min="46" max="46" width="8.5703125" style="1" customWidth="1"/>
    <col min="47" max="47" width="9" style="1" customWidth="1"/>
    <col min="48" max="48" width="9.140625" style="1" customWidth="1"/>
    <col min="49" max="49" width="7.140625" style="1" customWidth="1"/>
    <col min="50" max="50" width="9.28515625" style="1" customWidth="1"/>
    <col min="51" max="51" width="8.28515625" style="23" customWidth="1"/>
    <col min="52" max="52" width="9.140625" style="23" customWidth="1"/>
    <col min="53" max="53" width="7.7109375" style="23" customWidth="1"/>
    <col min="54" max="54" width="9.7109375" style="23" customWidth="1"/>
    <col min="55" max="55" width="8.7109375" style="23" customWidth="1"/>
    <col min="56" max="56" width="10" style="23" bestFit="1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53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32</v>
      </c>
      <c r="C4" s="1" t="s">
        <v>22</v>
      </c>
      <c r="D4" s="1" t="s">
        <v>33</v>
      </c>
      <c r="E4" s="51" t="s">
        <v>107</v>
      </c>
      <c r="F4" s="51" t="s">
        <v>265</v>
      </c>
      <c r="G4" s="51" t="s">
        <v>109</v>
      </c>
      <c r="H4" s="51" t="s">
        <v>266</v>
      </c>
      <c r="I4" s="1" t="s">
        <v>111</v>
      </c>
      <c r="J4" s="51" t="s">
        <v>112</v>
      </c>
      <c r="K4" s="51" t="s">
        <v>112</v>
      </c>
      <c r="L4" s="51" t="s">
        <v>112</v>
      </c>
      <c r="M4" s="1">
        <v>395436</v>
      </c>
      <c r="N4" s="56" t="s">
        <v>267</v>
      </c>
      <c r="O4" s="55">
        <f>DATE(2009,3,3)</f>
        <v>39875</v>
      </c>
      <c r="P4" s="55">
        <f>DATE(2013,12,30)</f>
        <v>41638</v>
      </c>
      <c r="Q4" s="51">
        <v>3600</v>
      </c>
      <c r="S4" s="51">
        <v>2.5</v>
      </c>
      <c r="U4" s="1">
        <f t="shared" ref="U4:U67" si="0">P4-O4+1</f>
        <v>1764</v>
      </c>
      <c r="V4" s="31">
        <f t="shared" ref="V4:V67" si="1">Q4/U4</f>
        <v>2.0408163265306123</v>
      </c>
      <c r="W4" s="31">
        <f t="shared" ref="W4:W67" si="2">IF(U4&gt;365,V4*365,Q4)</f>
        <v>744.89795918367349</v>
      </c>
      <c r="X4" s="31">
        <f t="shared" ref="X4:X67" si="3">IF(U4&gt;365,W4/800,Q4/800)</f>
        <v>0.93112244897959184</v>
      </c>
      <c r="AA4" s="32">
        <f t="shared" ref="AA4:AA67" si="4">DATE(2016,7,1)</f>
        <v>42552</v>
      </c>
      <c r="AB4" s="32">
        <f t="shared" ref="AB4:AB67" si="5">DATE(2016,12,31)</f>
        <v>42735</v>
      </c>
      <c r="AC4" s="50">
        <v>6</v>
      </c>
      <c r="AD4" s="1">
        <f t="shared" ref="AD4:AD67" si="6">IF(AND(O4&lt;AA4,P4&gt;AB4),AB4-AA4+1,0)</f>
        <v>0</v>
      </c>
      <c r="AE4" s="1">
        <f t="shared" ref="AE4:AE67" si="7">IF(AND(O4&gt;=AA4,P4&gt;AB4,O4&lt;AB4),AB4-O4+1,0)</f>
        <v>0</v>
      </c>
      <c r="AF4" s="1">
        <f t="shared" ref="AF4:AF67" si="8">IF(AND(O4&lt;AA4,P4&lt;=AB4,P4&gt;=AA4),P4-AA4+1,0)</f>
        <v>0</v>
      </c>
      <c r="AG4" s="1">
        <f t="shared" ref="AG4:AG67" si="9">IF(AND(O4&gt;=AA4,P4&lt;=AB4),P4-O4+1,0)</f>
        <v>0</v>
      </c>
      <c r="AH4" s="1">
        <f t="shared" ref="AH4:AH67" si="10">IF(AND(O4&lt;AA4,P4&lt;AA4),(AB4-AA4+1)/2,0)</f>
        <v>92</v>
      </c>
      <c r="AI4" s="23">
        <f t="shared" ref="AI4:AI67" si="11">SUM(AD4:AH4)/(AB4-AA4+1)</f>
        <v>0.5</v>
      </c>
      <c r="AJ4" s="23">
        <f t="shared" ref="AJ4:AJ67" si="12">X4*AI4</f>
        <v>0.46556122448979592</v>
      </c>
      <c r="AK4" s="23">
        <f t="shared" ref="AK4:AK67" si="13">IF(AH4=0,AJ4*AC4,IF(AA4-P4&gt;1095,0,AJ4*(AC4/2)))</f>
        <v>1.3966836734693877</v>
      </c>
      <c r="AL4" s="23">
        <f t="shared" ref="AL4:AL67" si="14">AK4*S4</f>
        <v>3.4917091836734695</v>
      </c>
      <c r="AM4" s="23">
        <f t="shared" ref="AM4:AM67" si="15">IF(J4="SIM",AL4*50%,0)</f>
        <v>0</v>
      </c>
      <c r="AN4" s="23">
        <f t="shared" ref="AN4:AN67" si="16">AL4+AM4</f>
        <v>3.4917091836734695</v>
      </c>
      <c r="AQ4" s="32">
        <f t="shared" ref="AQ4:AQ67" si="17">DATE(2017,1,1)</f>
        <v>42736</v>
      </c>
      <c r="AR4" s="32">
        <f t="shared" ref="AR4:AR67" si="18">DATE(2017,6,30)</f>
        <v>42916</v>
      </c>
      <c r="AS4" s="56">
        <v>0</v>
      </c>
      <c r="AT4" s="1">
        <f t="shared" ref="AT4:AT67" si="19">IF(AND(O4&lt;AQ4,P4&gt;AR4),AR4-AQ4+1,0)</f>
        <v>0</v>
      </c>
      <c r="AU4" s="1">
        <f t="shared" ref="AU4:AU67" si="20">IF(AND(O4&gt;=AQ4,P4&gt;AR4,O4&lt;AR4),AR4-O4+1,0)</f>
        <v>0</v>
      </c>
      <c r="AV4" s="1">
        <f t="shared" ref="AV4:AV67" si="21">IF(AND(O4&lt;AQ4,P4&lt;=AR4,P4&gt;=AQ4),P4-AQ4+1,0)</f>
        <v>0</v>
      </c>
      <c r="AW4" s="1">
        <f t="shared" ref="AW4:AW67" si="22">IF(AND(O4&gt;=AQ4,P4&lt;=AR4),P4-O4+1,0)</f>
        <v>0</v>
      </c>
      <c r="AX4" s="1">
        <f t="shared" ref="AX4:AX67" si="23">IF(AND(O4&lt;AQ4,P4&lt;AQ4),(AR4-AQ4+1)/2,0)</f>
        <v>90.5</v>
      </c>
      <c r="AY4" s="23">
        <f t="shared" ref="AY4:AY67" si="24">SUM(AT4:AX4)/(AR4-AQ4+1)</f>
        <v>0.5</v>
      </c>
      <c r="AZ4" s="23">
        <f t="shared" ref="AZ4:AZ67" si="25">X4*AY4</f>
        <v>0.46556122448979592</v>
      </c>
      <c r="BA4" s="23">
        <f t="shared" ref="BA4:BA67" si="26">IF(AX4=0,AZ4*AS4,IF(AQ4-P4&gt;1095,0,AZ4*(AS4/2)))</f>
        <v>0</v>
      </c>
      <c r="BB4" s="23">
        <f t="shared" ref="BB4:BB67" si="27">BA4*S4</f>
        <v>0</v>
      </c>
      <c r="BC4" s="23">
        <f t="shared" ref="BC4:BC67" si="28">IF(J4="SIM",BB4*50%,0)</f>
        <v>0</v>
      </c>
      <c r="BD4" s="23">
        <f t="shared" ref="BD4:BD67" si="29">BB4+BC4</f>
        <v>0</v>
      </c>
    </row>
    <row r="5" spans="1:57">
      <c r="A5" s="1" t="s">
        <v>20</v>
      </c>
      <c r="B5" s="1" t="s">
        <v>32</v>
      </c>
      <c r="C5" s="1" t="s">
        <v>22</v>
      </c>
      <c r="D5" s="1" t="s">
        <v>33</v>
      </c>
      <c r="E5" s="51" t="s">
        <v>107</v>
      </c>
      <c r="F5" s="51" t="s">
        <v>265</v>
      </c>
      <c r="G5" s="51" t="s">
        <v>109</v>
      </c>
      <c r="H5" s="51" t="s">
        <v>266</v>
      </c>
      <c r="I5" s="1" t="s">
        <v>111</v>
      </c>
      <c r="J5" s="51" t="s">
        <v>112</v>
      </c>
      <c r="K5" s="51" t="s">
        <v>112</v>
      </c>
      <c r="L5" s="51" t="s">
        <v>112</v>
      </c>
      <c r="M5" s="1">
        <v>395437</v>
      </c>
      <c r="N5" s="50" t="s">
        <v>268</v>
      </c>
      <c r="O5" s="55">
        <f>DATE(2010,3,3)</f>
        <v>40240</v>
      </c>
      <c r="P5" s="55">
        <f>DATE(2014,12,30)</f>
        <v>42003</v>
      </c>
      <c r="Q5" s="51">
        <v>3600</v>
      </c>
      <c r="S5" s="51">
        <v>2.5</v>
      </c>
      <c r="U5" s="1">
        <f t="shared" si="0"/>
        <v>1764</v>
      </c>
      <c r="V5" s="31">
        <f t="shared" si="1"/>
        <v>2.0408163265306123</v>
      </c>
      <c r="W5" s="31">
        <f t="shared" si="2"/>
        <v>744.89795918367349</v>
      </c>
      <c r="X5" s="31">
        <f t="shared" si="3"/>
        <v>0.93112244897959184</v>
      </c>
      <c r="AA5" s="32">
        <f t="shared" si="4"/>
        <v>42552</v>
      </c>
      <c r="AB5" s="32">
        <f t="shared" si="5"/>
        <v>42735</v>
      </c>
      <c r="AC5" s="50">
        <v>12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0.46556122448979592</v>
      </c>
      <c r="AK5" s="23">
        <f t="shared" si="13"/>
        <v>2.7933673469387754</v>
      </c>
      <c r="AL5" s="23">
        <f t="shared" si="14"/>
        <v>6.983418367346939</v>
      </c>
      <c r="AM5" s="23">
        <f t="shared" si="15"/>
        <v>0</v>
      </c>
      <c r="AN5" s="23">
        <f t="shared" si="16"/>
        <v>6.983418367346939</v>
      </c>
      <c r="AQ5" s="32">
        <f t="shared" si="17"/>
        <v>42736</v>
      </c>
      <c r="AR5" s="32">
        <f t="shared" si="18"/>
        <v>42916</v>
      </c>
      <c r="AS5" s="50">
        <v>11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0.46556122448979592</v>
      </c>
      <c r="BA5" s="23">
        <f t="shared" si="26"/>
        <v>2.5605867346938775</v>
      </c>
      <c r="BB5" s="23">
        <f t="shared" si="27"/>
        <v>6.4014668367346941</v>
      </c>
      <c r="BC5" s="23">
        <f t="shared" si="28"/>
        <v>0</v>
      </c>
      <c r="BD5" s="23">
        <f t="shared" si="29"/>
        <v>6.4014668367346941</v>
      </c>
    </row>
    <row r="6" spans="1:57">
      <c r="A6" s="1" t="s">
        <v>20</v>
      </c>
      <c r="B6" s="1" t="s">
        <v>32</v>
      </c>
      <c r="C6" s="1" t="s">
        <v>22</v>
      </c>
      <c r="D6" s="1" t="s">
        <v>33</v>
      </c>
      <c r="E6" s="51" t="s">
        <v>107</v>
      </c>
      <c r="F6" s="51" t="s">
        <v>265</v>
      </c>
      <c r="G6" s="51" t="s">
        <v>109</v>
      </c>
      <c r="H6" s="51" t="s">
        <v>269</v>
      </c>
      <c r="I6" s="1" t="s">
        <v>125</v>
      </c>
      <c r="J6" s="51" t="s">
        <v>112</v>
      </c>
      <c r="K6" s="51" t="s">
        <v>112</v>
      </c>
      <c r="L6" s="51" t="s">
        <v>112</v>
      </c>
      <c r="M6" s="1">
        <v>395645</v>
      </c>
      <c r="N6" s="56" t="s">
        <v>270</v>
      </c>
      <c r="O6" s="55">
        <f>DATE(2009,2,16)</f>
        <v>39860</v>
      </c>
      <c r="P6" s="55">
        <f>DATE(2013,12,31)</f>
        <v>41639</v>
      </c>
      <c r="Q6" s="51">
        <v>3900</v>
      </c>
      <c r="S6" s="51">
        <v>2.5</v>
      </c>
      <c r="U6" s="1">
        <f t="shared" si="0"/>
        <v>1780</v>
      </c>
      <c r="V6" s="31">
        <f t="shared" si="1"/>
        <v>2.191011235955056</v>
      </c>
      <c r="W6" s="31">
        <f t="shared" si="2"/>
        <v>799.71910112359546</v>
      </c>
      <c r="X6" s="31">
        <f t="shared" si="3"/>
        <v>0.99964887640449429</v>
      </c>
      <c r="AA6" s="32">
        <f t="shared" si="4"/>
        <v>42552</v>
      </c>
      <c r="AB6" s="32">
        <f t="shared" si="5"/>
        <v>42735</v>
      </c>
      <c r="AC6" s="50">
        <v>3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0.49982443820224715</v>
      </c>
      <c r="AK6" s="23">
        <f t="shared" si="13"/>
        <v>0.74973665730337069</v>
      </c>
      <c r="AL6" s="23">
        <f t="shared" si="14"/>
        <v>1.8743416432584268</v>
      </c>
      <c r="AM6" s="23">
        <f t="shared" si="15"/>
        <v>0</v>
      </c>
      <c r="AN6" s="23">
        <f t="shared" si="16"/>
        <v>1.8743416432584268</v>
      </c>
      <c r="AQ6" s="32">
        <f t="shared" si="17"/>
        <v>42736</v>
      </c>
      <c r="AR6" s="32">
        <f t="shared" si="18"/>
        <v>42916</v>
      </c>
      <c r="AS6" s="56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0.49982443820224715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32</v>
      </c>
      <c r="C7" s="1" t="s">
        <v>22</v>
      </c>
      <c r="D7" s="1" t="s">
        <v>33</v>
      </c>
      <c r="E7" s="51" t="s">
        <v>107</v>
      </c>
      <c r="F7" s="51" t="s">
        <v>265</v>
      </c>
      <c r="G7" s="51" t="s">
        <v>109</v>
      </c>
      <c r="H7" s="51" t="s">
        <v>269</v>
      </c>
      <c r="I7" s="1" t="s">
        <v>125</v>
      </c>
      <c r="J7" s="51" t="s">
        <v>112</v>
      </c>
      <c r="K7" s="51" t="s">
        <v>112</v>
      </c>
      <c r="L7" s="51" t="s">
        <v>112</v>
      </c>
      <c r="M7" s="1">
        <v>395648</v>
      </c>
      <c r="N7" s="50" t="s">
        <v>271</v>
      </c>
      <c r="O7" s="55">
        <f>DATE(2010,2,1)</f>
        <v>40210</v>
      </c>
      <c r="P7" s="55">
        <f>DATE(2014,12,31)</f>
        <v>42004</v>
      </c>
      <c r="Q7" s="51">
        <v>3900</v>
      </c>
      <c r="S7" s="51">
        <v>2.5</v>
      </c>
      <c r="U7" s="1">
        <f t="shared" si="0"/>
        <v>1795</v>
      </c>
      <c r="V7" s="31">
        <f t="shared" si="1"/>
        <v>2.1727019498607243</v>
      </c>
      <c r="W7" s="31">
        <f t="shared" si="2"/>
        <v>793.03621169916437</v>
      </c>
      <c r="X7" s="31">
        <f t="shared" si="3"/>
        <v>0.99129526462395545</v>
      </c>
      <c r="AA7" s="32">
        <f t="shared" si="4"/>
        <v>42552</v>
      </c>
      <c r="AB7" s="32">
        <f t="shared" si="5"/>
        <v>42735</v>
      </c>
      <c r="AC7" s="50">
        <v>6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0.49564763231197773</v>
      </c>
      <c r="AK7" s="23">
        <f t="shared" si="13"/>
        <v>1.4869428969359331</v>
      </c>
      <c r="AL7" s="23">
        <f t="shared" si="14"/>
        <v>3.7173572423398324</v>
      </c>
      <c r="AM7" s="23">
        <f t="shared" si="15"/>
        <v>0</v>
      </c>
      <c r="AN7" s="23">
        <f t="shared" si="16"/>
        <v>3.7173572423398324</v>
      </c>
      <c r="AQ7" s="32">
        <f t="shared" si="17"/>
        <v>42736</v>
      </c>
      <c r="AR7" s="32">
        <f t="shared" si="18"/>
        <v>42916</v>
      </c>
      <c r="AS7" s="50">
        <v>5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0.49564763231197773</v>
      </c>
      <c r="BA7" s="23">
        <f t="shared" si="26"/>
        <v>1.2391190807799444</v>
      </c>
      <c r="BB7" s="23">
        <f t="shared" si="27"/>
        <v>3.0977977019498608</v>
      </c>
      <c r="BC7" s="23">
        <f t="shared" si="28"/>
        <v>0</v>
      </c>
      <c r="BD7" s="23">
        <f t="shared" si="29"/>
        <v>3.0977977019498608</v>
      </c>
    </row>
    <row r="8" spans="1:57">
      <c r="A8" s="1" t="s">
        <v>20</v>
      </c>
      <c r="B8" s="1" t="s">
        <v>32</v>
      </c>
      <c r="C8" s="1" t="s">
        <v>22</v>
      </c>
      <c r="D8" s="1" t="s">
        <v>33</v>
      </c>
      <c r="E8" s="51" t="s">
        <v>107</v>
      </c>
      <c r="F8" s="51" t="s">
        <v>108</v>
      </c>
      <c r="G8" s="51" t="s">
        <v>109</v>
      </c>
      <c r="H8" s="51" t="s">
        <v>110</v>
      </c>
      <c r="I8" s="1" t="s">
        <v>111</v>
      </c>
      <c r="J8" s="51" t="s">
        <v>112</v>
      </c>
      <c r="K8" s="51" t="s">
        <v>112</v>
      </c>
      <c r="L8" s="51" t="s">
        <v>112</v>
      </c>
      <c r="M8" s="1">
        <v>805750</v>
      </c>
      <c r="N8" s="50" t="s">
        <v>272</v>
      </c>
      <c r="O8" s="55">
        <f t="shared" ref="O8:O19" si="30">DATE(2011,2,15)</f>
        <v>40589</v>
      </c>
      <c r="P8" s="55">
        <f t="shared" ref="P8:P19" si="31">DATE(2014,6,30)</f>
        <v>41820</v>
      </c>
      <c r="Q8" s="51">
        <v>2968</v>
      </c>
      <c r="S8" s="51">
        <v>2</v>
      </c>
      <c r="U8" s="1">
        <f t="shared" si="0"/>
        <v>1232</v>
      </c>
      <c r="V8" s="31">
        <f t="shared" si="1"/>
        <v>2.4090909090909092</v>
      </c>
      <c r="W8" s="31">
        <f t="shared" si="2"/>
        <v>879.31818181818187</v>
      </c>
      <c r="X8" s="31">
        <f t="shared" si="3"/>
        <v>1.0991477272727272</v>
      </c>
      <c r="AA8" s="32">
        <f t="shared" si="4"/>
        <v>42552</v>
      </c>
      <c r="AB8" s="32">
        <f t="shared" si="5"/>
        <v>42735</v>
      </c>
      <c r="AC8" s="50">
        <v>7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0.54957386363636362</v>
      </c>
      <c r="AK8" s="23">
        <f t="shared" si="13"/>
        <v>1.9235085227272726</v>
      </c>
      <c r="AL8" s="23">
        <f t="shared" si="14"/>
        <v>3.8470170454545451</v>
      </c>
      <c r="AM8" s="23">
        <f t="shared" si="15"/>
        <v>0</v>
      </c>
      <c r="AN8" s="23">
        <f t="shared" si="16"/>
        <v>3.8470170454545451</v>
      </c>
      <c r="AQ8" s="32">
        <f t="shared" si="17"/>
        <v>42736</v>
      </c>
      <c r="AR8" s="32">
        <f t="shared" si="18"/>
        <v>42916</v>
      </c>
      <c r="AS8" s="50">
        <v>6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0.54957386363636362</v>
      </c>
      <c r="BA8" s="23">
        <f t="shared" si="26"/>
        <v>1.6487215909090909</v>
      </c>
      <c r="BB8" s="23">
        <f t="shared" si="27"/>
        <v>3.2974431818181817</v>
      </c>
      <c r="BC8" s="23">
        <f t="shared" si="28"/>
        <v>0</v>
      </c>
      <c r="BD8" s="23">
        <f t="shared" si="29"/>
        <v>3.2974431818181817</v>
      </c>
    </row>
    <row r="9" spans="1:57">
      <c r="A9" s="1" t="s">
        <v>20</v>
      </c>
      <c r="B9" s="1" t="s">
        <v>32</v>
      </c>
      <c r="C9" s="1" t="s">
        <v>22</v>
      </c>
      <c r="D9" s="1" t="s">
        <v>33</v>
      </c>
      <c r="E9" s="51" t="s">
        <v>107</v>
      </c>
      <c r="F9" s="51" t="s">
        <v>108</v>
      </c>
      <c r="G9" s="51" t="s">
        <v>109</v>
      </c>
      <c r="H9" s="51" t="s">
        <v>273</v>
      </c>
      <c r="I9" s="1" t="s">
        <v>128</v>
      </c>
      <c r="J9" s="51" t="s">
        <v>112</v>
      </c>
      <c r="K9" s="51" t="s">
        <v>112</v>
      </c>
      <c r="L9" s="51" t="s">
        <v>112</v>
      </c>
      <c r="M9" s="1">
        <v>805754</v>
      </c>
      <c r="N9" s="50" t="s">
        <v>274</v>
      </c>
      <c r="O9" s="55">
        <f t="shared" si="30"/>
        <v>40589</v>
      </c>
      <c r="P9" s="55">
        <f t="shared" si="31"/>
        <v>41820</v>
      </c>
      <c r="Q9" s="51">
        <v>3180</v>
      </c>
      <c r="S9" s="51">
        <v>2.5</v>
      </c>
      <c r="U9" s="1">
        <f t="shared" si="0"/>
        <v>1232</v>
      </c>
      <c r="V9" s="31">
        <f t="shared" si="1"/>
        <v>2.581168831168831</v>
      </c>
      <c r="W9" s="31">
        <f t="shared" si="2"/>
        <v>942.12662337662334</v>
      </c>
      <c r="X9" s="31">
        <f t="shared" si="3"/>
        <v>1.1776582792207793</v>
      </c>
      <c r="AA9" s="32">
        <f t="shared" si="4"/>
        <v>42552</v>
      </c>
      <c r="AB9" s="32">
        <f t="shared" si="5"/>
        <v>42735</v>
      </c>
      <c r="AC9" s="50">
        <v>1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0.58882913961038963</v>
      </c>
      <c r="AK9" s="23">
        <f t="shared" si="13"/>
        <v>0.29441456980519481</v>
      </c>
      <c r="AL9" s="23">
        <f t="shared" si="14"/>
        <v>0.73603642451298701</v>
      </c>
      <c r="AM9" s="23">
        <f t="shared" si="15"/>
        <v>0</v>
      </c>
      <c r="AN9" s="23">
        <f t="shared" si="16"/>
        <v>0.73603642451298701</v>
      </c>
      <c r="AQ9" s="32">
        <f t="shared" si="17"/>
        <v>42736</v>
      </c>
      <c r="AR9" s="32">
        <f t="shared" si="18"/>
        <v>42916</v>
      </c>
      <c r="AS9" s="50">
        <v>1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0.58882913961038963</v>
      </c>
      <c r="BA9" s="23">
        <f t="shared" si="26"/>
        <v>0.29441456980519481</v>
      </c>
      <c r="BB9" s="23">
        <f t="shared" si="27"/>
        <v>0.73603642451298701</v>
      </c>
      <c r="BC9" s="23">
        <f t="shared" si="28"/>
        <v>0</v>
      </c>
      <c r="BD9" s="23">
        <f t="shared" si="29"/>
        <v>0.73603642451298701</v>
      </c>
    </row>
    <row r="10" spans="1:57">
      <c r="A10" s="1" t="s">
        <v>20</v>
      </c>
      <c r="B10" s="1" t="s">
        <v>32</v>
      </c>
      <c r="C10" s="1" t="s">
        <v>22</v>
      </c>
      <c r="D10" s="1" t="s">
        <v>33</v>
      </c>
      <c r="E10" s="51" t="s">
        <v>107</v>
      </c>
      <c r="F10" s="51" t="s">
        <v>108</v>
      </c>
      <c r="G10" s="51" t="s">
        <v>109</v>
      </c>
      <c r="H10" s="51" t="s">
        <v>275</v>
      </c>
      <c r="I10" s="1" t="s">
        <v>128</v>
      </c>
      <c r="J10" s="51" t="s">
        <v>112</v>
      </c>
      <c r="K10" s="51" t="s">
        <v>112</v>
      </c>
      <c r="L10" s="51" t="s">
        <v>112</v>
      </c>
      <c r="M10" s="1">
        <v>805758</v>
      </c>
      <c r="N10" s="50" t="s">
        <v>276</v>
      </c>
      <c r="O10" s="55">
        <f t="shared" si="30"/>
        <v>40589</v>
      </c>
      <c r="P10" s="55">
        <f t="shared" si="31"/>
        <v>41820</v>
      </c>
      <c r="Q10" s="51">
        <v>3270</v>
      </c>
      <c r="S10" s="51">
        <v>2.5</v>
      </c>
      <c r="U10" s="1">
        <f t="shared" si="0"/>
        <v>1232</v>
      </c>
      <c r="V10" s="31">
        <f t="shared" si="1"/>
        <v>2.654220779220779</v>
      </c>
      <c r="W10" s="31">
        <f t="shared" si="2"/>
        <v>968.79058441558436</v>
      </c>
      <c r="X10" s="31">
        <f t="shared" si="3"/>
        <v>1.2109882305194803</v>
      </c>
      <c r="AA10" s="32">
        <f t="shared" si="4"/>
        <v>42552</v>
      </c>
      <c r="AB10" s="32">
        <f t="shared" si="5"/>
        <v>42735</v>
      </c>
      <c r="AC10" s="50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0.60549411525974017</v>
      </c>
      <c r="AK10" s="23">
        <f t="shared" si="13"/>
        <v>0.60549411525974017</v>
      </c>
      <c r="AL10" s="23">
        <f t="shared" si="14"/>
        <v>1.5137352881493504</v>
      </c>
      <c r="AM10" s="23">
        <f t="shared" si="15"/>
        <v>0</v>
      </c>
      <c r="AN10" s="23">
        <f t="shared" si="16"/>
        <v>1.5137352881493504</v>
      </c>
      <c r="AQ10" s="32">
        <f t="shared" si="17"/>
        <v>42736</v>
      </c>
      <c r="AR10" s="32">
        <f t="shared" si="18"/>
        <v>42916</v>
      </c>
      <c r="AS10" s="50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0.60549411525974017</v>
      </c>
      <c r="BA10" s="23">
        <f t="shared" si="26"/>
        <v>0.30274705762987009</v>
      </c>
      <c r="BB10" s="23">
        <f t="shared" si="27"/>
        <v>0.75686764407467522</v>
      </c>
      <c r="BC10" s="23">
        <f t="shared" si="28"/>
        <v>0</v>
      </c>
      <c r="BD10" s="23">
        <f t="shared" si="29"/>
        <v>0.75686764407467522</v>
      </c>
    </row>
    <row r="11" spans="1:57">
      <c r="A11" s="1" t="s">
        <v>20</v>
      </c>
      <c r="B11" s="1" t="s">
        <v>32</v>
      </c>
      <c r="C11" s="1" t="s">
        <v>22</v>
      </c>
      <c r="D11" s="1" t="s">
        <v>33</v>
      </c>
      <c r="E11" s="51" t="s">
        <v>107</v>
      </c>
      <c r="F11" s="51" t="s">
        <v>108</v>
      </c>
      <c r="G11" s="51" t="s">
        <v>109</v>
      </c>
      <c r="H11" s="51" t="s">
        <v>277</v>
      </c>
      <c r="I11" s="1" t="s">
        <v>278</v>
      </c>
      <c r="J11" s="51" t="s">
        <v>112</v>
      </c>
      <c r="K11" s="51" t="s">
        <v>112</v>
      </c>
      <c r="L11" s="51" t="s">
        <v>112</v>
      </c>
      <c r="M11" s="1">
        <v>805762</v>
      </c>
      <c r="N11" s="50" t="s">
        <v>279</v>
      </c>
      <c r="O11" s="55">
        <f t="shared" si="30"/>
        <v>40589</v>
      </c>
      <c r="P11" s="55">
        <f t="shared" si="31"/>
        <v>41820</v>
      </c>
      <c r="Q11" s="51">
        <v>3102</v>
      </c>
      <c r="S11" s="51">
        <v>1.5</v>
      </c>
      <c r="U11" s="1">
        <f t="shared" si="0"/>
        <v>1232</v>
      </c>
      <c r="V11" s="31">
        <f t="shared" si="1"/>
        <v>2.5178571428571428</v>
      </c>
      <c r="W11" s="31">
        <f t="shared" si="2"/>
        <v>919.01785714285711</v>
      </c>
      <c r="X11" s="31">
        <f t="shared" si="3"/>
        <v>1.1487723214285714</v>
      </c>
      <c r="AA11" s="32">
        <f t="shared" si="4"/>
        <v>42552</v>
      </c>
      <c r="AB11" s="32">
        <f t="shared" si="5"/>
        <v>42735</v>
      </c>
      <c r="AC11" s="50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0.57438616071428572</v>
      </c>
      <c r="AK11" s="23">
        <f t="shared" si="13"/>
        <v>0.28719308035714286</v>
      </c>
      <c r="AL11" s="23">
        <f t="shared" si="14"/>
        <v>0.43078962053571429</v>
      </c>
      <c r="AM11" s="23">
        <f t="shared" si="15"/>
        <v>0</v>
      </c>
      <c r="AN11" s="23">
        <f t="shared" si="16"/>
        <v>0.43078962053571429</v>
      </c>
      <c r="AQ11" s="32">
        <f t="shared" si="17"/>
        <v>42736</v>
      </c>
      <c r="AR11" s="32">
        <f t="shared" si="18"/>
        <v>42916</v>
      </c>
      <c r="AS11" s="50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0.57438616071428572</v>
      </c>
      <c r="BA11" s="23">
        <f t="shared" si="26"/>
        <v>0.28719308035714286</v>
      </c>
      <c r="BB11" s="23">
        <f t="shared" si="27"/>
        <v>0.43078962053571429</v>
      </c>
      <c r="BC11" s="23">
        <f t="shared" si="28"/>
        <v>0</v>
      </c>
      <c r="BD11" s="23">
        <f t="shared" si="29"/>
        <v>0.43078962053571429</v>
      </c>
    </row>
    <row r="12" spans="1:57">
      <c r="A12" s="48" t="s">
        <v>20</v>
      </c>
      <c r="B12" s="1" t="s">
        <v>32</v>
      </c>
      <c r="C12" s="1" t="s">
        <v>22</v>
      </c>
      <c r="D12" s="1" t="s">
        <v>33</v>
      </c>
      <c r="E12" s="51" t="s">
        <v>107</v>
      </c>
      <c r="F12" s="51" t="s">
        <v>108</v>
      </c>
      <c r="G12" s="51" t="s">
        <v>109</v>
      </c>
      <c r="H12" s="51" t="s">
        <v>124</v>
      </c>
      <c r="I12" s="1" t="s">
        <v>125</v>
      </c>
      <c r="J12" s="51" t="s">
        <v>112</v>
      </c>
      <c r="K12" s="51" t="s">
        <v>112</v>
      </c>
      <c r="L12" s="51" t="s">
        <v>112</v>
      </c>
      <c r="M12" s="1">
        <v>805766</v>
      </c>
      <c r="N12" s="50" t="s">
        <v>280</v>
      </c>
      <c r="O12" s="55">
        <f t="shared" si="30"/>
        <v>40589</v>
      </c>
      <c r="P12" s="55">
        <f t="shared" si="31"/>
        <v>41820</v>
      </c>
      <c r="Q12" s="51">
        <v>3322</v>
      </c>
      <c r="S12" s="51">
        <v>2.5</v>
      </c>
      <c r="U12" s="1">
        <f t="shared" si="0"/>
        <v>1232</v>
      </c>
      <c r="V12" s="31">
        <f t="shared" si="1"/>
        <v>2.6964285714285716</v>
      </c>
      <c r="W12" s="31">
        <f t="shared" si="2"/>
        <v>984.19642857142867</v>
      </c>
      <c r="X12" s="31">
        <f t="shared" si="3"/>
        <v>1.2302455357142859</v>
      </c>
      <c r="AA12" s="32">
        <f t="shared" si="4"/>
        <v>42552</v>
      </c>
      <c r="AB12" s="32">
        <f t="shared" si="5"/>
        <v>42735</v>
      </c>
      <c r="AC12" s="50">
        <v>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0.61512276785714293</v>
      </c>
      <c r="AK12" s="23">
        <f t="shared" si="13"/>
        <v>0.61512276785714293</v>
      </c>
      <c r="AL12" s="23">
        <f t="shared" si="14"/>
        <v>1.5378069196428572</v>
      </c>
      <c r="AM12" s="23">
        <f t="shared" si="15"/>
        <v>0</v>
      </c>
      <c r="AN12" s="23">
        <f t="shared" si="16"/>
        <v>1.5378069196428572</v>
      </c>
      <c r="AQ12" s="32">
        <f t="shared" si="17"/>
        <v>42736</v>
      </c>
      <c r="AR12" s="32">
        <f t="shared" si="18"/>
        <v>42916</v>
      </c>
      <c r="AS12" s="50">
        <v>1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0.61512276785714293</v>
      </c>
      <c r="BA12" s="23">
        <f t="shared" si="26"/>
        <v>0.30756138392857146</v>
      </c>
      <c r="BB12" s="23">
        <f t="shared" si="27"/>
        <v>0.7689034598214286</v>
      </c>
      <c r="BC12" s="23">
        <f t="shared" si="28"/>
        <v>0</v>
      </c>
      <c r="BD12" s="23">
        <f t="shared" si="29"/>
        <v>0.7689034598214286</v>
      </c>
    </row>
    <row r="13" spans="1:57">
      <c r="A13" s="1" t="s">
        <v>20</v>
      </c>
      <c r="B13" s="1" t="s">
        <v>32</v>
      </c>
      <c r="C13" s="1" t="s">
        <v>22</v>
      </c>
      <c r="D13" s="1" t="s">
        <v>33</v>
      </c>
      <c r="E13" s="51" t="s">
        <v>107</v>
      </c>
      <c r="F13" s="51" t="s">
        <v>108</v>
      </c>
      <c r="G13" s="51" t="s">
        <v>109</v>
      </c>
      <c r="H13" s="51" t="s">
        <v>281</v>
      </c>
      <c r="I13" s="1" t="s">
        <v>147</v>
      </c>
      <c r="J13" s="51" t="s">
        <v>112</v>
      </c>
      <c r="K13" s="51" t="s">
        <v>112</v>
      </c>
      <c r="L13" s="51" t="s">
        <v>112</v>
      </c>
      <c r="M13" s="1">
        <v>805767</v>
      </c>
      <c r="N13" s="50" t="s">
        <v>282</v>
      </c>
      <c r="O13" s="55">
        <f t="shared" si="30"/>
        <v>40589</v>
      </c>
      <c r="P13" s="55">
        <f t="shared" si="31"/>
        <v>41820</v>
      </c>
      <c r="Q13" s="51">
        <v>3407</v>
      </c>
      <c r="S13" s="51">
        <v>2</v>
      </c>
      <c r="U13" s="1">
        <f t="shared" si="0"/>
        <v>1232</v>
      </c>
      <c r="V13" s="31">
        <f t="shared" si="1"/>
        <v>2.7654220779220777</v>
      </c>
      <c r="W13" s="31">
        <f t="shared" si="2"/>
        <v>1009.3790584415584</v>
      </c>
      <c r="X13" s="31">
        <f t="shared" si="3"/>
        <v>1.2617238230519481</v>
      </c>
      <c r="AA13" s="32">
        <f t="shared" si="4"/>
        <v>42552</v>
      </c>
      <c r="AB13" s="32">
        <f t="shared" si="5"/>
        <v>42735</v>
      </c>
      <c r="AC13" s="50">
        <v>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0.63086191152597404</v>
      </c>
      <c r="AK13" s="23">
        <f t="shared" si="13"/>
        <v>0.31543095576298702</v>
      </c>
      <c r="AL13" s="23">
        <f t="shared" si="14"/>
        <v>0.63086191152597404</v>
      </c>
      <c r="AM13" s="23">
        <f t="shared" si="15"/>
        <v>0</v>
      </c>
      <c r="AN13" s="23">
        <f t="shared" si="16"/>
        <v>0.63086191152597404</v>
      </c>
      <c r="AQ13" s="32">
        <f t="shared" si="17"/>
        <v>42736</v>
      </c>
      <c r="AR13" s="32">
        <f t="shared" si="18"/>
        <v>42916</v>
      </c>
      <c r="AS13" s="50">
        <v>1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0.63086191152597404</v>
      </c>
      <c r="BA13" s="23">
        <f t="shared" si="26"/>
        <v>0.31543095576298702</v>
      </c>
      <c r="BB13" s="23">
        <f t="shared" si="27"/>
        <v>0.63086191152597404</v>
      </c>
      <c r="BC13" s="23">
        <f t="shared" si="28"/>
        <v>0</v>
      </c>
      <c r="BD13" s="23">
        <f t="shared" si="29"/>
        <v>0.63086191152597404</v>
      </c>
    </row>
    <row r="14" spans="1:57">
      <c r="A14" s="1" t="s">
        <v>20</v>
      </c>
      <c r="B14" s="1" t="s">
        <v>32</v>
      </c>
      <c r="C14" s="1" t="s">
        <v>22</v>
      </c>
      <c r="D14" s="1" t="s">
        <v>33</v>
      </c>
      <c r="E14" s="51" t="s">
        <v>107</v>
      </c>
      <c r="F14" s="51" t="s">
        <v>108</v>
      </c>
      <c r="G14" s="51" t="s">
        <v>109</v>
      </c>
      <c r="H14" s="51" t="s">
        <v>283</v>
      </c>
      <c r="I14" s="1" t="s">
        <v>128</v>
      </c>
      <c r="J14" s="51" t="s">
        <v>112</v>
      </c>
      <c r="K14" s="51" t="s">
        <v>112</v>
      </c>
      <c r="L14" s="51" t="s">
        <v>112</v>
      </c>
      <c r="M14" s="1">
        <v>805770</v>
      </c>
      <c r="N14" s="50" t="s">
        <v>284</v>
      </c>
      <c r="O14" s="55">
        <f t="shared" si="30"/>
        <v>40589</v>
      </c>
      <c r="P14" s="55">
        <f t="shared" si="31"/>
        <v>41820</v>
      </c>
      <c r="Q14" s="51">
        <v>3128</v>
      </c>
      <c r="S14" s="51">
        <v>2.5</v>
      </c>
      <c r="U14" s="1">
        <f t="shared" si="0"/>
        <v>1232</v>
      </c>
      <c r="V14" s="31">
        <f t="shared" si="1"/>
        <v>2.5389610389610389</v>
      </c>
      <c r="W14" s="31">
        <f t="shared" si="2"/>
        <v>926.72077922077915</v>
      </c>
      <c r="X14" s="31">
        <f t="shared" si="3"/>
        <v>1.158400974025974</v>
      </c>
      <c r="AA14" s="32">
        <f t="shared" si="4"/>
        <v>42552</v>
      </c>
      <c r="AB14" s="32">
        <f t="shared" si="5"/>
        <v>42735</v>
      </c>
      <c r="AC14" s="50">
        <v>4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0.57920048701298699</v>
      </c>
      <c r="AK14" s="23">
        <f t="shared" si="13"/>
        <v>1.158400974025974</v>
      </c>
      <c r="AL14" s="23">
        <f t="shared" si="14"/>
        <v>2.8960024350649349</v>
      </c>
      <c r="AM14" s="23">
        <f t="shared" si="15"/>
        <v>0</v>
      </c>
      <c r="AN14" s="23">
        <f t="shared" si="16"/>
        <v>2.8960024350649349</v>
      </c>
      <c r="AQ14" s="32">
        <f t="shared" si="17"/>
        <v>42736</v>
      </c>
      <c r="AR14" s="32">
        <f t="shared" si="18"/>
        <v>42916</v>
      </c>
      <c r="AS14" s="50">
        <v>1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0.57920048701298699</v>
      </c>
      <c r="BA14" s="23">
        <f t="shared" si="26"/>
        <v>0.28960024350649349</v>
      </c>
      <c r="BB14" s="23">
        <f t="shared" si="27"/>
        <v>0.72400060876623373</v>
      </c>
      <c r="BC14" s="23">
        <f t="shared" si="28"/>
        <v>0</v>
      </c>
      <c r="BD14" s="23">
        <f t="shared" si="29"/>
        <v>0.72400060876623373</v>
      </c>
    </row>
    <row r="15" spans="1:57">
      <c r="A15" s="1" t="s">
        <v>20</v>
      </c>
      <c r="B15" s="1" t="s">
        <v>32</v>
      </c>
      <c r="C15" s="1" t="s">
        <v>22</v>
      </c>
      <c r="D15" s="1" t="s">
        <v>33</v>
      </c>
      <c r="E15" s="51" t="s">
        <v>107</v>
      </c>
      <c r="F15" s="51" t="s">
        <v>108</v>
      </c>
      <c r="G15" s="51" t="s">
        <v>109</v>
      </c>
      <c r="H15" s="51" t="s">
        <v>285</v>
      </c>
      <c r="I15" s="1" t="s">
        <v>125</v>
      </c>
      <c r="J15" s="51" t="s">
        <v>112</v>
      </c>
      <c r="K15" s="51" t="s">
        <v>112</v>
      </c>
      <c r="L15" s="51" t="s">
        <v>112</v>
      </c>
      <c r="M15" s="1">
        <v>805771</v>
      </c>
      <c r="N15" s="50" t="s">
        <v>286</v>
      </c>
      <c r="O15" s="55">
        <f t="shared" si="30"/>
        <v>40589</v>
      </c>
      <c r="P15" s="55">
        <f t="shared" si="31"/>
        <v>41820</v>
      </c>
      <c r="Q15" s="51">
        <v>3115</v>
      </c>
      <c r="S15" s="51">
        <v>2.5</v>
      </c>
      <c r="U15" s="1">
        <f t="shared" si="0"/>
        <v>1232</v>
      </c>
      <c r="V15" s="31">
        <f t="shared" si="1"/>
        <v>2.5284090909090908</v>
      </c>
      <c r="W15" s="31">
        <f t="shared" si="2"/>
        <v>922.86931818181813</v>
      </c>
      <c r="X15" s="31">
        <f t="shared" si="3"/>
        <v>1.1535866477272727</v>
      </c>
      <c r="AA15" s="32">
        <f t="shared" si="4"/>
        <v>42552</v>
      </c>
      <c r="AB15" s="32">
        <f t="shared" si="5"/>
        <v>42735</v>
      </c>
      <c r="AC15" s="50">
        <v>6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0.57679332386363635</v>
      </c>
      <c r="AK15" s="23">
        <f t="shared" si="13"/>
        <v>1.7303799715909092</v>
      </c>
      <c r="AL15" s="23">
        <f t="shared" si="14"/>
        <v>4.3259499289772734</v>
      </c>
      <c r="AM15" s="23">
        <f t="shared" si="15"/>
        <v>0</v>
      </c>
      <c r="AN15" s="23">
        <f t="shared" si="16"/>
        <v>4.3259499289772734</v>
      </c>
      <c r="AQ15" s="32">
        <f t="shared" si="17"/>
        <v>42736</v>
      </c>
      <c r="AR15" s="32">
        <f t="shared" si="18"/>
        <v>42916</v>
      </c>
      <c r="AS15" s="50">
        <v>4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0.57679332386363635</v>
      </c>
      <c r="BA15" s="23">
        <f t="shared" si="26"/>
        <v>1.1535866477272727</v>
      </c>
      <c r="BB15" s="23">
        <f t="shared" si="27"/>
        <v>2.8839666193181817</v>
      </c>
      <c r="BC15" s="23">
        <f t="shared" si="28"/>
        <v>0</v>
      </c>
      <c r="BD15" s="23">
        <f t="shared" si="29"/>
        <v>2.8839666193181817</v>
      </c>
    </row>
    <row r="16" spans="1:57">
      <c r="A16" s="1" t="s">
        <v>20</v>
      </c>
      <c r="B16" s="1" t="s">
        <v>32</v>
      </c>
      <c r="C16" s="1" t="s">
        <v>22</v>
      </c>
      <c r="D16" s="1" t="s">
        <v>33</v>
      </c>
      <c r="E16" s="51" t="s">
        <v>107</v>
      </c>
      <c r="F16" s="51" t="s">
        <v>108</v>
      </c>
      <c r="G16" s="51" t="s">
        <v>109</v>
      </c>
      <c r="H16" s="51" t="s">
        <v>287</v>
      </c>
      <c r="I16" s="1" t="s">
        <v>111</v>
      </c>
      <c r="J16" s="51" t="s">
        <v>112</v>
      </c>
      <c r="K16" s="51" t="s">
        <v>112</v>
      </c>
      <c r="L16" s="51" t="s">
        <v>112</v>
      </c>
      <c r="M16" s="1">
        <v>805774</v>
      </c>
      <c r="N16" s="50" t="s">
        <v>288</v>
      </c>
      <c r="O16" s="55">
        <f t="shared" si="30"/>
        <v>40589</v>
      </c>
      <c r="P16" s="55">
        <f t="shared" si="31"/>
        <v>41820</v>
      </c>
      <c r="Q16" s="51">
        <v>3257</v>
      </c>
      <c r="S16" s="51">
        <v>2.5</v>
      </c>
      <c r="U16" s="1">
        <f t="shared" si="0"/>
        <v>1232</v>
      </c>
      <c r="V16" s="31">
        <f t="shared" si="1"/>
        <v>2.643668831168831</v>
      </c>
      <c r="W16" s="31">
        <f t="shared" si="2"/>
        <v>964.93912337662334</v>
      </c>
      <c r="X16" s="31">
        <f t="shared" si="3"/>
        <v>1.2061739042207791</v>
      </c>
      <c r="AA16" s="32">
        <f t="shared" si="4"/>
        <v>42552</v>
      </c>
      <c r="AB16" s="32">
        <f t="shared" si="5"/>
        <v>42735</v>
      </c>
      <c r="AC16" s="50">
        <v>3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0.60308695211038954</v>
      </c>
      <c r="AK16" s="23">
        <f t="shared" si="13"/>
        <v>0.90463042816558437</v>
      </c>
      <c r="AL16" s="23">
        <f t="shared" si="14"/>
        <v>2.2615760704139607</v>
      </c>
      <c r="AM16" s="23">
        <f t="shared" si="15"/>
        <v>0</v>
      </c>
      <c r="AN16" s="23">
        <f t="shared" si="16"/>
        <v>2.2615760704139607</v>
      </c>
      <c r="AQ16" s="32">
        <f t="shared" si="17"/>
        <v>42736</v>
      </c>
      <c r="AR16" s="32">
        <f t="shared" si="18"/>
        <v>42916</v>
      </c>
      <c r="AS16" s="50">
        <v>2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0.60308695211038954</v>
      </c>
      <c r="BA16" s="23">
        <f t="shared" si="26"/>
        <v>0.60308695211038954</v>
      </c>
      <c r="BB16" s="23">
        <f t="shared" si="27"/>
        <v>1.5077173802759738</v>
      </c>
      <c r="BC16" s="23">
        <f t="shared" si="28"/>
        <v>0</v>
      </c>
      <c r="BD16" s="23">
        <f t="shared" si="29"/>
        <v>1.5077173802759738</v>
      </c>
    </row>
    <row r="17" spans="1:56">
      <c r="A17" s="1" t="s">
        <v>20</v>
      </c>
      <c r="B17" s="1" t="s">
        <v>32</v>
      </c>
      <c r="C17" s="1" t="s">
        <v>22</v>
      </c>
      <c r="D17" s="1" t="s">
        <v>33</v>
      </c>
      <c r="E17" s="51" t="s">
        <v>107</v>
      </c>
      <c r="F17" s="51" t="s">
        <v>108</v>
      </c>
      <c r="G17" s="51" t="s">
        <v>109</v>
      </c>
      <c r="H17" s="51" t="s">
        <v>213</v>
      </c>
      <c r="I17" s="1" t="s">
        <v>214</v>
      </c>
      <c r="J17" s="51" t="s">
        <v>112</v>
      </c>
      <c r="K17" s="51" t="s">
        <v>112</v>
      </c>
      <c r="L17" s="51" t="s">
        <v>112</v>
      </c>
      <c r="M17" s="1">
        <v>805775</v>
      </c>
      <c r="N17" s="50" t="s">
        <v>289</v>
      </c>
      <c r="O17" s="55">
        <f t="shared" si="30"/>
        <v>40589</v>
      </c>
      <c r="P17" s="55">
        <f t="shared" si="31"/>
        <v>41820</v>
      </c>
      <c r="Q17" s="51">
        <v>3102</v>
      </c>
      <c r="S17" s="51">
        <v>1.5</v>
      </c>
      <c r="U17" s="1">
        <f t="shared" si="0"/>
        <v>1232</v>
      </c>
      <c r="V17" s="31">
        <f t="shared" si="1"/>
        <v>2.5178571428571428</v>
      </c>
      <c r="W17" s="31">
        <f t="shared" si="2"/>
        <v>919.01785714285711</v>
      </c>
      <c r="X17" s="31">
        <f t="shared" si="3"/>
        <v>1.1487723214285714</v>
      </c>
      <c r="AA17" s="32">
        <f t="shared" si="4"/>
        <v>42552</v>
      </c>
      <c r="AB17" s="32">
        <f t="shared" si="5"/>
        <v>42735</v>
      </c>
      <c r="AC17" s="50">
        <v>4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0.57438616071428572</v>
      </c>
      <c r="AK17" s="23">
        <f t="shared" si="13"/>
        <v>1.1487723214285714</v>
      </c>
      <c r="AL17" s="23">
        <f t="shared" si="14"/>
        <v>1.7231584821428572</v>
      </c>
      <c r="AM17" s="23">
        <f t="shared" si="15"/>
        <v>0</v>
      </c>
      <c r="AN17" s="23">
        <f t="shared" si="16"/>
        <v>1.7231584821428572</v>
      </c>
      <c r="AQ17" s="32">
        <f t="shared" si="17"/>
        <v>42736</v>
      </c>
      <c r="AR17" s="32">
        <f t="shared" si="18"/>
        <v>42916</v>
      </c>
      <c r="AS17" s="50">
        <v>3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0.57438616071428572</v>
      </c>
      <c r="BA17" s="23">
        <f t="shared" si="26"/>
        <v>0.86157924107142858</v>
      </c>
      <c r="BB17" s="23">
        <f t="shared" si="27"/>
        <v>1.2923688616071429</v>
      </c>
      <c r="BC17" s="23">
        <f t="shared" si="28"/>
        <v>0</v>
      </c>
      <c r="BD17" s="23">
        <f t="shared" si="29"/>
        <v>1.2923688616071429</v>
      </c>
    </row>
    <row r="18" spans="1:56">
      <c r="A18" s="1" t="s">
        <v>20</v>
      </c>
      <c r="B18" s="1" t="s">
        <v>32</v>
      </c>
      <c r="C18" s="1" t="s">
        <v>22</v>
      </c>
      <c r="D18" s="1" t="s">
        <v>33</v>
      </c>
      <c r="E18" s="51" t="s">
        <v>107</v>
      </c>
      <c r="F18" s="51" t="s">
        <v>108</v>
      </c>
      <c r="G18" s="51" t="s">
        <v>109</v>
      </c>
      <c r="H18" s="51" t="s">
        <v>290</v>
      </c>
      <c r="I18" s="1" t="s">
        <v>125</v>
      </c>
      <c r="J18" s="51" t="s">
        <v>112</v>
      </c>
      <c r="K18" s="51" t="s">
        <v>112</v>
      </c>
      <c r="L18" s="51" t="s">
        <v>112</v>
      </c>
      <c r="M18" s="1">
        <v>805777</v>
      </c>
      <c r="N18" s="50" t="s">
        <v>291</v>
      </c>
      <c r="O18" s="55">
        <f t="shared" si="30"/>
        <v>40589</v>
      </c>
      <c r="P18" s="55">
        <f t="shared" si="31"/>
        <v>41820</v>
      </c>
      <c r="Q18" s="51">
        <v>3404</v>
      </c>
      <c r="S18" s="51">
        <v>2.5</v>
      </c>
      <c r="U18" s="1">
        <f t="shared" si="0"/>
        <v>1232</v>
      </c>
      <c r="V18" s="31">
        <f t="shared" si="1"/>
        <v>2.7629870129870131</v>
      </c>
      <c r="W18" s="31">
        <f t="shared" si="2"/>
        <v>1008.4902597402598</v>
      </c>
      <c r="X18" s="31">
        <f t="shared" si="3"/>
        <v>1.2606128246753248</v>
      </c>
      <c r="AA18" s="32">
        <f t="shared" si="4"/>
        <v>42552</v>
      </c>
      <c r="AB18" s="32">
        <f t="shared" si="5"/>
        <v>42735</v>
      </c>
      <c r="AC18" s="50">
        <v>7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0.63030641233766238</v>
      </c>
      <c r="AK18" s="23">
        <f t="shared" si="13"/>
        <v>2.2060724431818182</v>
      </c>
      <c r="AL18" s="23">
        <f t="shared" si="14"/>
        <v>5.515181107954545</v>
      </c>
      <c r="AM18" s="23">
        <f t="shared" si="15"/>
        <v>0</v>
      </c>
      <c r="AN18" s="23">
        <f t="shared" si="16"/>
        <v>5.515181107954545</v>
      </c>
      <c r="AQ18" s="32">
        <f t="shared" si="17"/>
        <v>42736</v>
      </c>
      <c r="AR18" s="32">
        <f t="shared" si="18"/>
        <v>42916</v>
      </c>
      <c r="AS18" s="50">
        <v>2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0.63030641233766238</v>
      </c>
      <c r="BA18" s="23">
        <f t="shared" si="26"/>
        <v>0.63030641233766238</v>
      </c>
      <c r="BB18" s="23">
        <f t="shared" si="27"/>
        <v>1.5757660308441559</v>
      </c>
      <c r="BC18" s="23">
        <f t="shared" si="28"/>
        <v>0</v>
      </c>
      <c r="BD18" s="23">
        <f t="shared" si="29"/>
        <v>1.5757660308441559</v>
      </c>
    </row>
    <row r="19" spans="1:56">
      <c r="A19" s="1" t="s">
        <v>20</v>
      </c>
      <c r="B19" s="1" t="s">
        <v>32</v>
      </c>
      <c r="C19" s="1" t="s">
        <v>22</v>
      </c>
      <c r="D19" s="1" t="s">
        <v>33</v>
      </c>
      <c r="E19" s="51" t="s">
        <v>107</v>
      </c>
      <c r="F19" s="51" t="s">
        <v>108</v>
      </c>
      <c r="G19" s="51" t="s">
        <v>109</v>
      </c>
      <c r="H19" s="51" t="s">
        <v>127</v>
      </c>
      <c r="I19" s="1" t="s">
        <v>128</v>
      </c>
      <c r="J19" s="51" t="s">
        <v>112</v>
      </c>
      <c r="K19" s="51" t="s">
        <v>112</v>
      </c>
      <c r="L19" s="51" t="s">
        <v>112</v>
      </c>
      <c r="M19" s="1">
        <v>805779</v>
      </c>
      <c r="N19" s="50" t="s">
        <v>292</v>
      </c>
      <c r="O19" s="55">
        <f t="shared" si="30"/>
        <v>40589</v>
      </c>
      <c r="P19" s="55">
        <f t="shared" si="31"/>
        <v>41820</v>
      </c>
      <c r="Q19" s="51">
        <v>3359</v>
      </c>
      <c r="S19" s="51">
        <v>2.5</v>
      </c>
      <c r="U19" s="1">
        <f t="shared" si="0"/>
        <v>1232</v>
      </c>
      <c r="V19" s="31">
        <f t="shared" si="1"/>
        <v>2.7264610389610389</v>
      </c>
      <c r="W19" s="31">
        <f t="shared" si="2"/>
        <v>995.15827922077915</v>
      </c>
      <c r="X19" s="31">
        <f t="shared" si="3"/>
        <v>1.2439478490259739</v>
      </c>
      <c r="AA19" s="32">
        <f t="shared" si="4"/>
        <v>42552</v>
      </c>
      <c r="AB19" s="32">
        <f t="shared" si="5"/>
        <v>42735</v>
      </c>
      <c r="AC19" s="50">
        <v>5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0.62197392451298694</v>
      </c>
      <c r="AK19" s="23">
        <f t="shared" si="13"/>
        <v>1.5549348112824672</v>
      </c>
      <c r="AL19" s="23">
        <f t="shared" si="14"/>
        <v>3.8873370282061681</v>
      </c>
      <c r="AM19" s="23">
        <f t="shared" si="15"/>
        <v>0</v>
      </c>
      <c r="AN19" s="23">
        <f t="shared" si="16"/>
        <v>3.8873370282061681</v>
      </c>
      <c r="AQ19" s="32">
        <f t="shared" si="17"/>
        <v>42736</v>
      </c>
      <c r="AR19" s="32">
        <f t="shared" si="18"/>
        <v>42916</v>
      </c>
      <c r="AS19" s="50">
        <v>1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0.62197392451298694</v>
      </c>
      <c r="BA19" s="23">
        <f t="shared" si="26"/>
        <v>0.31098696225649347</v>
      </c>
      <c r="BB19" s="23">
        <f t="shared" si="27"/>
        <v>0.77746740564123362</v>
      </c>
      <c r="BC19" s="23">
        <f t="shared" si="28"/>
        <v>0</v>
      </c>
      <c r="BD19" s="23">
        <f t="shared" si="29"/>
        <v>0.77746740564123362</v>
      </c>
    </row>
    <row r="20" spans="1:56">
      <c r="A20" s="1" t="s">
        <v>20</v>
      </c>
      <c r="B20" s="1" t="s">
        <v>32</v>
      </c>
      <c r="C20" s="1" t="s">
        <v>22</v>
      </c>
      <c r="D20" s="1" t="s">
        <v>33</v>
      </c>
      <c r="E20" s="51" t="s">
        <v>107</v>
      </c>
      <c r="F20" s="51" t="s">
        <v>114</v>
      </c>
      <c r="G20" s="51" t="s">
        <v>109</v>
      </c>
      <c r="H20" s="51" t="s">
        <v>130</v>
      </c>
      <c r="I20" s="1" t="s">
        <v>131</v>
      </c>
      <c r="J20" s="51" t="s">
        <v>112</v>
      </c>
      <c r="K20" s="51" t="s">
        <v>112</v>
      </c>
      <c r="L20" s="51" t="s">
        <v>112</v>
      </c>
      <c r="M20" s="1">
        <v>808947</v>
      </c>
      <c r="N20" s="50" t="s">
        <v>293</v>
      </c>
      <c r="O20" s="55">
        <f t="shared" ref="O20:O33" si="32">DATE(2011,4,1)</f>
        <v>40634</v>
      </c>
      <c r="P20" s="55">
        <f>DATE(2014,2,28)</f>
        <v>41698</v>
      </c>
      <c r="Q20" s="51">
        <v>3660</v>
      </c>
      <c r="S20" s="51">
        <v>2.5</v>
      </c>
      <c r="U20" s="1">
        <f t="shared" si="0"/>
        <v>1065</v>
      </c>
      <c r="V20" s="31">
        <f t="shared" si="1"/>
        <v>3.436619718309859</v>
      </c>
      <c r="W20" s="31">
        <f t="shared" si="2"/>
        <v>1254.3661971830986</v>
      </c>
      <c r="X20" s="31">
        <f t="shared" si="3"/>
        <v>1.5679577464788732</v>
      </c>
      <c r="AA20" s="32">
        <f t="shared" si="4"/>
        <v>42552</v>
      </c>
      <c r="AB20" s="32">
        <f t="shared" si="5"/>
        <v>42735</v>
      </c>
      <c r="AC20" s="50">
        <v>4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0.7839788732394366</v>
      </c>
      <c r="AK20" s="23">
        <f t="shared" si="13"/>
        <v>1.5679577464788732</v>
      </c>
      <c r="AL20" s="23">
        <f t="shared" si="14"/>
        <v>3.919894366197183</v>
      </c>
      <c r="AM20" s="23">
        <f t="shared" si="15"/>
        <v>0</v>
      </c>
      <c r="AN20" s="23">
        <f t="shared" si="16"/>
        <v>3.919894366197183</v>
      </c>
      <c r="AQ20" s="32">
        <f t="shared" si="17"/>
        <v>42736</v>
      </c>
      <c r="AR20" s="32">
        <f t="shared" si="18"/>
        <v>42916</v>
      </c>
      <c r="AS20" s="50">
        <v>1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0.7839788732394366</v>
      </c>
      <c r="BA20" s="23">
        <f t="shared" si="26"/>
        <v>0.3919894366197183</v>
      </c>
      <c r="BB20" s="23">
        <f t="shared" si="27"/>
        <v>0.97997359154929575</v>
      </c>
      <c r="BC20" s="23">
        <f t="shared" si="28"/>
        <v>0</v>
      </c>
      <c r="BD20" s="23">
        <f t="shared" si="29"/>
        <v>0.97997359154929575</v>
      </c>
    </row>
    <row r="21" spans="1:56">
      <c r="A21" s="1" t="s">
        <v>20</v>
      </c>
      <c r="B21" s="1" t="s">
        <v>32</v>
      </c>
      <c r="C21" s="1" t="s">
        <v>22</v>
      </c>
      <c r="D21" s="1" t="s">
        <v>33</v>
      </c>
      <c r="E21" s="51" t="s">
        <v>107</v>
      </c>
      <c r="F21" s="51" t="s">
        <v>294</v>
      </c>
      <c r="G21" s="51" t="s">
        <v>109</v>
      </c>
      <c r="H21" s="51" t="s">
        <v>295</v>
      </c>
      <c r="I21" s="1" t="s">
        <v>111</v>
      </c>
      <c r="J21" s="51" t="s">
        <v>112</v>
      </c>
      <c r="K21" s="51" t="s">
        <v>112</v>
      </c>
      <c r="L21" s="51" t="s">
        <v>112</v>
      </c>
      <c r="M21" s="1">
        <v>808948</v>
      </c>
      <c r="N21" s="50" t="s">
        <v>296</v>
      </c>
      <c r="O21" s="55">
        <f t="shared" si="32"/>
        <v>40634</v>
      </c>
      <c r="P21" s="55">
        <f>DATE(2014,3,1)</f>
        <v>41699</v>
      </c>
      <c r="Q21" s="51">
        <v>2840</v>
      </c>
      <c r="S21" s="51">
        <v>2.5</v>
      </c>
      <c r="U21" s="1">
        <f t="shared" si="0"/>
        <v>1066</v>
      </c>
      <c r="V21" s="31">
        <f t="shared" si="1"/>
        <v>2.6641651031894935</v>
      </c>
      <c r="W21" s="31">
        <f t="shared" si="2"/>
        <v>972.42026266416508</v>
      </c>
      <c r="X21" s="31">
        <f t="shared" si="3"/>
        <v>1.2155253283302063</v>
      </c>
      <c r="AA21" s="32">
        <f t="shared" si="4"/>
        <v>42552</v>
      </c>
      <c r="AB21" s="32">
        <f t="shared" si="5"/>
        <v>42735</v>
      </c>
      <c r="AC21" s="50">
        <v>15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0.60776266416510316</v>
      </c>
      <c r="AK21" s="23">
        <f t="shared" si="13"/>
        <v>4.558219981238274</v>
      </c>
      <c r="AL21" s="23">
        <f t="shared" si="14"/>
        <v>11.395549953095685</v>
      </c>
      <c r="AM21" s="23">
        <f t="shared" si="15"/>
        <v>0</v>
      </c>
      <c r="AN21" s="23">
        <f t="shared" si="16"/>
        <v>11.395549953095685</v>
      </c>
      <c r="AQ21" s="32">
        <f t="shared" si="17"/>
        <v>42736</v>
      </c>
      <c r="AR21" s="32">
        <f t="shared" si="18"/>
        <v>42916</v>
      </c>
      <c r="AS21" s="50">
        <v>15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0.60776266416510316</v>
      </c>
      <c r="BA21" s="23">
        <f t="shared" si="26"/>
        <v>4.558219981238274</v>
      </c>
      <c r="BB21" s="23">
        <f t="shared" si="27"/>
        <v>11.395549953095685</v>
      </c>
      <c r="BC21" s="23">
        <f t="shared" si="28"/>
        <v>0</v>
      </c>
      <c r="BD21" s="23">
        <f t="shared" si="29"/>
        <v>11.395549953095685</v>
      </c>
    </row>
    <row r="22" spans="1:56">
      <c r="A22" s="1" t="s">
        <v>20</v>
      </c>
      <c r="B22" s="1" t="s">
        <v>32</v>
      </c>
      <c r="C22" s="1" t="s">
        <v>22</v>
      </c>
      <c r="D22" s="1" t="s">
        <v>33</v>
      </c>
      <c r="E22" s="51" t="s">
        <v>107</v>
      </c>
      <c r="F22" s="51" t="s">
        <v>294</v>
      </c>
      <c r="G22" s="51" t="s">
        <v>109</v>
      </c>
      <c r="H22" s="51" t="s">
        <v>297</v>
      </c>
      <c r="I22" s="1" t="s">
        <v>147</v>
      </c>
      <c r="J22" s="51" t="s">
        <v>112</v>
      </c>
      <c r="K22" s="51" t="s">
        <v>112</v>
      </c>
      <c r="L22" s="51" t="s">
        <v>112</v>
      </c>
      <c r="M22" s="1">
        <v>808949</v>
      </c>
      <c r="N22" s="50" t="s">
        <v>298</v>
      </c>
      <c r="O22" s="55">
        <f t="shared" si="32"/>
        <v>40634</v>
      </c>
      <c r="P22" s="55">
        <f>DATE(2014,3,1)</f>
        <v>41699</v>
      </c>
      <c r="Q22" s="51">
        <v>2720</v>
      </c>
      <c r="S22" s="51">
        <v>2</v>
      </c>
      <c r="U22" s="1">
        <f t="shared" si="0"/>
        <v>1066</v>
      </c>
      <c r="V22" s="31">
        <f t="shared" si="1"/>
        <v>2.5515947467166979</v>
      </c>
      <c r="W22" s="31">
        <f t="shared" si="2"/>
        <v>931.33208255159479</v>
      </c>
      <c r="X22" s="31">
        <f t="shared" si="3"/>
        <v>1.1641651031894935</v>
      </c>
      <c r="AA22" s="32">
        <f t="shared" si="4"/>
        <v>42552</v>
      </c>
      <c r="AB22" s="32">
        <f t="shared" si="5"/>
        <v>42735</v>
      </c>
      <c r="AC22" s="50">
        <v>6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0.58208255159474676</v>
      </c>
      <c r="AK22" s="23">
        <f t="shared" si="13"/>
        <v>1.7462476547842403</v>
      </c>
      <c r="AL22" s="23">
        <f t="shared" si="14"/>
        <v>3.4924953095684805</v>
      </c>
      <c r="AM22" s="23">
        <f t="shared" si="15"/>
        <v>0</v>
      </c>
      <c r="AN22" s="23">
        <f t="shared" si="16"/>
        <v>3.4924953095684805</v>
      </c>
      <c r="AQ22" s="32">
        <f t="shared" si="17"/>
        <v>42736</v>
      </c>
      <c r="AR22" s="32">
        <f t="shared" si="18"/>
        <v>42916</v>
      </c>
      <c r="AS22" s="50">
        <v>3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0.58208255159474676</v>
      </c>
      <c r="BA22" s="23">
        <f t="shared" si="26"/>
        <v>0.87312382739212013</v>
      </c>
      <c r="BB22" s="23">
        <f t="shared" si="27"/>
        <v>1.7462476547842403</v>
      </c>
      <c r="BC22" s="23">
        <f t="shared" si="28"/>
        <v>0</v>
      </c>
      <c r="BD22" s="23">
        <f t="shared" si="29"/>
        <v>1.7462476547842403</v>
      </c>
    </row>
    <row r="23" spans="1:56">
      <c r="A23" s="1" t="s">
        <v>20</v>
      </c>
      <c r="B23" s="1" t="s">
        <v>32</v>
      </c>
      <c r="C23" s="1" t="s">
        <v>22</v>
      </c>
      <c r="D23" s="1" t="s">
        <v>33</v>
      </c>
      <c r="E23" s="51" t="s">
        <v>107</v>
      </c>
      <c r="F23" s="51" t="s">
        <v>265</v>
      </c>
      <c r="G23" s="51" t="s">
        <v>109</v>
      </c>
      <c r="H23" s="51" t="s">
        <v>266</v>
      </c>
      <c r="I23" s="1" t="s">
        <v>111</v>
      </c>
      <c r="J23" s="51" t="s">
        <v>112</v>
      </c>
      <c r="K23" s="51" t="s">
        <v>112</v>
      </c>
      <c r="L23" s="51" t="s">
        <v>112</v>
      </c>
      <c r="M23" s="1">
        <v>808954</v>
      </c>
      <c r="N23" s="50" t="s">
        <v>299</v>
      </c>
      <c r="O23" s="55">
        <f t="shared" si="32"/>
        <v>40634</v>
      </c>
      <c r="P23" s="55">
        <f>DATE(2016,3,1)</f>
        <v>42430</v>
      </c>
      <c r="Q23" s="51">
        <v>3600</v>
      </c>
      <c r="S23" s="51">
        <v>2.5</v>
      </c>
      <c r="U23" s="1">
        <f t="shared" si="0"/>
        <v>1797</v>
      </c>
      <c r="V23" s="31">
        <f t="shared" si="1"/>
        <v>2.003338898163606</v>
      </c>
      <c r="W23" s="31">
        <f t="shared" si="2"/>
        <v>731.21869782971623</v>
      </c>
      <c r="X23" s="31">
        <f t="shared" si="3"/>
        <v>0.91402337228714525</v>
      </c>
      <c r="AA23" s="32">
        <f t="shared" si="4"/>
        <v>42552</v>
      </c>
      <c r="AB23" s="32">
        <f t="shared" si="5"/>
        <v>42735</v>
      </c>
      <c r="AC23" s="50">
        <v>16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0.45701168614357263</v>
      </c>
      <c r="AK23" s="23">
        <f t="shared" si="13"/>
        <v>3.656093489148581</v>
      </c>
      <c r="AL23" s="23">
        <f t="shared" si="14"/>
        <v>9.1402337228714519</v>
      </c>
      <c r="AM23" s="23">
        <f t="shared" si="15"/>
        <v>0</v>
      </c>
      <c r="AN23" s="23">
        <f t="shared" si="16"/>
        <v>9.1402337228714519</v>
      </c>
      <c r="AQ23" s="32">
        <f t="shared" si="17"/>
        <v>42736</v>
      </c>
      <c r="AR23" s="32">
        <f t="shared" si="18"/>
        <v>42916</v>
      </c>
      <c r="AS23" s="50">
        <v>15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0.45701168614357263</v>
      </c>
      <c r="BA23" s="23">
        <f t="shared" si="26"/>
        <v>3.4275876460767947</v>
      </c>
      <c r="BB23" s="23">
        <f t="shared" si="27"/>
        <v>8.5689691151919867</v>
      </c>
      <c r="BC23" s="23">
        <f t="shared" si="28"/>
        <v>0</v>
      </c>
      <c r="BD23" s="23">
        <f t="shared" si="29"/>
        <v>8.5689691151919867</v>
      </c>
    </row>
    <row r="24" spans="1:56">
      <c r="A24" s="1" t="s">
        <v>20</v>
      </c>
      <c r="B24" s="1" t="s">
        <v>32</v>
      </c>
      <c r="C24" s="1" t="s">
        <v>22</v>
      </c>
      <c r="D24" s="1" t="s">
        <v>33</v>
      </c>
      <c r="E24" s="51" t="s">
        <v>107</v>
      </c>
      <c r="F24" s="51" t="s">
        <v>265</v>
      </c>
      <c r="G24" s="51" t="s">
        <v>109</v>
      </c>
      <c r="H24" s="51" t="s">
        <v>269</v>
      </c>
      <c r="I24" s="1" t="s">
        <v>125</v>
      </c>
      <c r="J24" s="51" t="s">
        <v>112</v>
      </c>
      <c r="K24" s="51" t="s">
        <v>112</v>
      </c>
      <c r="L24" s="51" t="s">
        <v>112</v>
      </c>
      <c r="M24" s="1">
        <v>808955</v>
      </c>
      <c r="N24" s="50" t="s">
        <v>300</v>
      </c>
      <c r="O24" s="55">
        <f t="shared" si="32"/>
        <v>40634</v>
      </c>
      <c r="P24" s="55">
        <f>DATE(2016,3,1)</f>
        <v>42430</v>
      </c>
      <c r="Q24" s="51">
        <v>3900</v>
      </c>
      <c r="S24" s="51">
        <v>2.5</v>
      </c>
      <c r="U24" s="1">
        <f t="shared" si="0"/>
        <v>1797</v>
      </c>
      <c r="V24" s="31">
        <f t="shared" si="1"/>
        <v>2.1702838063439067</v>
      </c>
      <c r="W24" s="31">
        <f t="shared" si="2"/>
        <v>792.15358931552601</v>
      </c>
      <c r="X24" s="31">
        <f t="shared" si="3"/>
        <v>0.99019198664440755</v>
      </c>
      <c r="AA24" s="32">
        <f t="shared" si="4"/>
        <v>42552</v>
      </c>
      <c r="AB24" s="32">
        <f t="shared" si="5"/>
        <v>42735</v>
      </c>
      <c r="AC24" s="50">
        <v>9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0</v>
      </c>
      <c r="AH24" s="1">
        <f t="shared" si="10"/>
        <v>92</v>
      </c>
      <c r="AI24" s="23">
        <f t="shared" si="11"/>
        <v>0.5</v>
      </c>
      <c r="AJ24" s="23">
        <f t="shared" si="12"/>
        <v>0.49509599332220378</v>
      </c>
      <c r="AK24" s="23">
        <f t="shared" si="13"/>
        <v>2.2279319699499172</v>
      </c>
      <c r="AL24" s="23">
        <f t="shared" si="14"/>
        <v>5.5698299248747931</v>
      </c>
      <c r="AM24" s="23">
        <f t="shared" si="15"/>
        <v>0</v>
      </c>
      <c r="AN24" s="23">
        <f t="shared" si="16"/>
        <v>5.5698299248747931</v>
      </c>
      <c r="AQ24" s="32">
        <f t="shared" si="17"/>
        <v>42736</v>
      </c>
      <c r="AR24" s="32">
        <f t="shared" si="18"/>
        <v>42916</v>
      </c>
      <c r="AS24" s="50">
        <v>8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0.49509599332220378</v>
      </c>
      <c r="BA24" s="23">
        <f t="shared" si="26"/>
        <v>1.9803839732888151</v>
      </c>
      <c r="BB24" s="23">
        <f t="shared" si="27"/>
        <v>4.9509599332220375</v>
      </c>
      <c r="BC24" s="23">
        <f t="shared" si="28"/>
        <v>0</v>
      </c>
      <c r="BD24" s="23">
        <f t="shared" si="29"/>
        <v>4.9509599332220375</v>
      </c>
    </row>
    <row r="25" spans="1:56">
      <c r="A25" s="1" t="s">
        <v>20</v>
      </c>
      <c r="B25" s="1" t="s">
        <v>32</v>
      </c>
      <c r="C25" s="1" t="s">
        <v>22</v>
      </c>
      <c r="D25" s="1" t="s">
        <v>33</v>
      </c>
      <c r="E25" s="51" t="s">
        <v>107</v>
      </c>
      <c r="F25" s="51" t="s">
        <v>294</v>
      </c>
      <c r="G25" s="51" t="s">
        <v>109</v>
      </c>
      <c r="H25" s="51" t="s">
        <v>301</v>
      </c>
      <c r="I25" s="1" t="s">
        <v>111</v>
      </c>
      <c r="J25" s="51" t="s">
        <v>112</v>
      </c>
      <c r="K25" s="51" t="s">
        <v>112</v>
      </c>
      <c r="L25" s="51" t="s">
        <v>112</v>
      </c>
      <c r="M25" s="1">
        <v>808957</v>
      </c>
      <c r="N25" s="50" t="s">
        <v>302</v>
      </c>
      <c r="O25" s="55">
        <f t="shared" si="32"/>
        <v>40634</v>
      </c>
      <c r="P25" s="55">
        <f t="shared" ref="P25:P33" si="33">DATE(2014,2,28)</f>
        <v>41698</v>
      </c>
      <c r="Q25" s="51">
        <v>2840</v>
      </c>
      <c r="S25" s="51">
        <v>2</v>
      </c>
      <c r="U25" s="1">
        <f t="shared" si="0"/>
        <v>1065</v>
      </c>
      <c r="V25" s="31">
        <f t="shared" si="1"/>
        <v>2.6666666666666665</v>
      </c>
      <c r="W25" s="31">
        <f t="shared" si="2"/>
        <v>973.33333333333326</v>
      </c>
      <c r="X25" s="31">
        <f t="shared" si="3"/>
        <v>1.2166666666666666</v>
      </c>
      <c r="AA25" s="32">
        <f t="shared" si="4"/>
        <v>42552</v>
      </c>
      <c r="AB25" s="32">
        <f t="shared" si="5"/>
        <v>42735</v>
      </c>
      <c r="AC25" s="50">
        <v>11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0.60833333333333328</v>
      </c>
      <c r="AK25" s="23">
        <f t="shared" si="13"/>
        <v>3.3458333333333332</v>
      </c>
      <c r="AL25" s="23">
        <f t="shared" si="14"/>
        <v>6.6916666666666664</v>
      </c>
      <c r="AM25" s="23">
        <f t="shared" si="15"/>
        <v>0</v>
      </c>
      <c r="AN25" s="23">
        <f t="shared" si="16"/>
        <v>6.6916666666666664</v>
      </c>
      <c r="AQ25" s="32">
        <f t="shared" si="17"/>
        <v>42736</v>
      </c>
      <c r="AR25" s="32">
        <f t="shared" si="18"/>
        <v>42916</v>
      </c>
      <c r="AS25" s="50">
        <v>6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0.60833333333333328</v>
      </c>
      <c r="BA25" s="23">
        <f t="shared" si="26"/>
        <v>1.8249999999999997</v>
      </c>
      <c r="BB25" s="23">
        <f t="shared" si="27"/>
        <v>3.6499999999999995</v>
      </c>
      <c r="BC25" s="23">
        <f t="shared" si="28"/>
        <v>0</v>
      </c>
      <c r="BD25" s="23">
        <f t="shared" si="29"/>
        <v>3.6499999999999995</v>
      </c>
    </row>
    <row r="26" spans="1:56">
      <c r="A26" s="1" t="s">
        <v>20</v>
      </c>
      <c r="B26" s="1" t="s">
        <v>32</v>
      </c>
      <c r="C26" s="1" t="s">
        <v>22</v>
      </c>
      <c r="D26" s="1" t="s">
        <v>33</v>
      </c>
      <c r="E26" s="51" t="s">
        <v>107</v>
      </c>
      <c r="F26" s="51" t="s">
        <v>294</v>
      </c>
      <c r="G26" s="51" t="s">
        <v>109</v>
      </c>
      <c r="H26" s="51" t="s">
        <v>303</v>
      </c>
      <c r="I26" s="1" t="s">
        <v>128</v>
      </c>
      <c r="J26" s="51" t="s">
        <v>112</v>
      </c>
      <c r="K26" s="51" t="s">
        <v>112</v>
      </c>
      <c r="L26" s="51" t="s">
        <v>112</v>
      </c>
      <c r="M26" s="1">
        <v>808960</v>
      </c>
      <c r="N26" s="56" t="s">
        <v>304</v>
      </c>
      <c r="O26" s="55">
        <f t="shared" si="32"/>
        <v>40634</v>
      </c>
      <c r="P26" s="55">
        <f t="shared" si="33"/>
        <v>41698</v>
      </c>
      <c r="Q26" s="51">
        <v>2520</v>
      </c>
      <c r="S26" s="51">
        <v>2.5</v>
      </c>
      <c r="U26" s="1">
        <f t="shared" si="0"/>
        <v>1065</v>
      </c>
      <c r="V26" s="31">
        <f t="shared" si="1"/>
        <v>2.3661971830985915</v>
      </c>
      <c r="W26" s="31">
        <f t="shared" si="2"/>
        <v>863.66197183098586</v>
      </c>
      <c r="X26" s="31">
        <f t="shared" si="3"/>
        <v>1.0795774647887324</v>
      </c>
      <c r="AA26" s="32">
        <f t="shared" si="4"/>
        <v>42552</v>
      </c>
      <c r="AB26" s="32">
        <f t="shared" si="5"/>
        <v>42735</v>
      </c>
      <c r="AC26" s="50">
        <v>1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0.5397887323943662</v>
      </c>
      <c r="AK26" s="23">
        <f t="shared" si="13"/>
        <v>0.2698943661971831</v>
      </c>
      <c r="AL26" s="23">
        <f t="shared" si="14"/>
        <v>0.67473591549295775</v>
      </c>
      <c r="AM26" s="23">
        <f t="shared" si="15"/>
        <v>0</v>
      </c>
      <c r="AN26" s="23">
        <f t="shared" si="16"/>
        <v>0.67473591549295775</v>
      </c>
      <c r="AQ26" s="32">
        <f t="shared" si="17"/>
        <v>42736</v>
      </c>
      <c r="AR26" s="32">
        <f t="shared" si="18"/>
        <v>42916</v>
      </c>
      <c r="AS26" s="56">
        <v>0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0.5397887323943662</v>
      </c>
      <c r="BA26" s="23">
        <f t="shared" si="26"/>
        <v>0</v>
      </c>
      <c r="BB26" s="23">
        <f t="shared" si="27"/>
        <v>0</v>
      </c>
      <c r="BC26" s="23">
        <f t="shared" si="28"/>
        <v>0</v>
      </c>
      <c r="BD26" s="23">
        <f t="shared" si="29"/>
        <v>0</v>
      </c>
    </row>
    <row r="27" spans="1:56">
      <c r="A27" s="1" t="s">
        <v>20</v>
      </c>
      <c r="B27" s="1" t="s">
        <v>32</v>
      </c>
      <c r="C27" s="1" t="s">
        <v>22</v>
      </c>
      <c r="D27" s="1" t="s">
        <v>33</v>
      </c>
      <c r="E27" s="51" t="s">
        <v>107</v>
      </c>
      <c r="F27" s="51" t="s">
        <v>294</v>
      </c>
      <c r="G27" s="51" t="s">
        <v>109</v>
      </c>
      <c r="H27" s="51" t="s">
        <v>305</v>
      </c>
      <c r="I27" s="1" t="s">
        <v>234</v>
      </c>
      <c r="J27" s="51" t="s">
        <v>112</v>
      </c>
      <c r="K27" s="51" t="s">
        <v>112</v>
      </c>
      <c r="L27" s="51" t="s">
        <v>112</v>
      </c>
      <c r="M27" s="1">
        <v>808961</v>
      </c>
      <c r="N27" s="50" t="s">
        <v>306</v>
      </c>
      <c r="O27" s="55">
        <f t="shared" si="32"/>
        <v>40634</v>
      </c>
      <c r="P27" s="55">
        <f t="shared" si="33"/>
        <v>41698</v>
      </c>
      <c r="Q27" s="51">
        <v>2360</v>
      </c>
      <c r="S27" s="51">
        <v>1</v>
      </c>
      <c r="U27" s="1">
        <f t="shared" si="0"/>
        <v>1065</v>
      </c>
      <c r="V27" s="31">
        <f t="shared" si="1"/>
        <v>2.215962441314554</v>
      </c>
      <c r="W27" s="31">
        <f t="shared" si="2"/>
        <v>808.82629107981222</v>
      </c>
      <c r="X27" s="31">
        <f t="shared" si="3"/>
        <v>1.0110328638497652</v>
      </c>
      <c r="AA27" s="32">
        <f t="shared" si="4"/>
        <v>42552</v>
      </c>
      <c r="AB27" s="32">
        <f t="shared" si="5"/>
        <v>42735</v>
      </c>
      <c r="AC27" s="50">
        <v>7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0.5055164319248826</v>
      </c>
      <c r="AK27" s="23">
        <f t="shared" si="13"/>
        <v>1.7693075117370891</v>
      </c>
      <c r="AL27" s="23">
        <f t="shared" si="14"/>
        <v>1.7693075117370891</v>
      </c>
      <c r="AM27" s="23">
        <f t="shared" si="15"/>
        <v>0</v>
      </c>
      <c r="AN27" s="23">
        <f t="shared" si="16"/>
        <v>1.7693075117370891</v>
      </c>
      <c r="AQ27" s="32">
        <f t="shared" si="17"/>
        <v>42736</v>
      </c>
      <c r="AR27" s="32">
        <f t="shared" si="18"/>
        <v>42916</v>
      </c>
      <c r="AS27" s="50">
        <v>4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0.5055164319248826</v>
      </c>
      <c r="BA27" s="23">
        <f t="shared" si="26"/>
        <v>1.0110328638497652</v>
      </c>
      <c r="BB27" s="23">
        <f t="shared" si="27"/>
        <v>1.0110328638497652</v>
      </c>
      <c r="BC27" s="23">
        <f t="shared" si="28"/>
        <v>0</v>
      </c>
      <c r="BD27" s="23">
        <f t="shared" si="29"/>
        <v>1.0110328638497652</v>
      </c>
    </row>
    <row r="28" spans="1:56">
      <c r="A28" s="1" t="s">
        <v>20</v>
      </c>
      <c r="B28" s="1" t="s">
        <v>32</v>
      </c>
      <c r="C28" s="1" t="s">
        <v>22</v>
      </c>
      <c r="D28" s="1" t="s">
        <v>33</v>
      </c>
      <c r="E28" s="51" t="s">
        <v>107</v>
      </c>
      <c r="F28" s="51" t="s">
        <v>114</v>
      </c>
      <c r="G28" s="51" t="s">
        <v>109</v>
      </c>
      <c r="H28" s="51" t="s">
        <v>152</v>
      </c>
      <c r="I28" s="1" t="s">
        <v>147</v>
      </c>
      <c r="J28" s="51" t="s">
        <v>112</v>
      </c>
      <c r="K28" s="51" t="s">
        <v>112</v>
      </c>
      <c r="L28" s="51" t="s">
        <v>112</v>
      </c>
      <c r="M28" s="1">
        <v>808963</v>
      </c>
      <c r="N28" s="50" t="s">
        <v>307</v>
      </c>
      <c r="O28" s="55">
        <f t="shared" si="32"/>
        <v>40634</v>
      </c>
      <c r="P28" s="55">
        <f t="shared" si="33"/>
        <v>41698</v>
      </c>
      <c r="Q28" s="51">
        <v>3100</v>
      </c>
      <c r="S28" s="51">
        <v>2.5</v>
      </c>
      <c r="U28" s="1">
        <f t="shared" si="0"/>
        <v>1065</v>
      </c>
      <c r="V28" s="31">
        <f t="shared" si="1"/>
        <v>2.9107981220657275</v>
      </c>
      <c r="W28" s="31">
        <f t="shared" si="2"/>
        <v>1062.4413145539907</v>
      </c>
      <c r="X28" s="31">
        <f t="shared" si="3"/>
        <v>1.3280516431924883</v>
      </c>
      <c r="AA28" s="32">
        <f t="shared" si="4"/>
        <v>42552</v>
      </c>
      <c r="AB28" s="32">
        <f t="shared" si="5"/>
        <v>42735</v>
      </c>
      <c r="AC28" s="50">
        <v>12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0.66402582159624413</v>
      </c>
      <c r="AK28" s="23">
        <f t="shared" si="13"/>
        <v>3.984154929577465</v>
      </c>
      <c r="AL28" s="23">
        <f t="shared" si="14"/>
        <v>9.960387323943662</v>
      </c>
      <c r="AM28" s="23">
        <f t="shared" si="15"/>
        <v>0</v>
      </c>
      <c r="AN28" s="23">
        <f t="shared" si="16"/>
        <v>9.960387323943662</v>
      </c>
      <c r="AQ28" s="32">
        <f t="shared" si="17"/>
        <v>42736</v>
      </c>
      <c r="AR28" s="32">
        <f t="shared" si="18"/>
        <v>42916</v>
      </c>
      <c r="AS28" s="50">
        <v>8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0.66402582159624413</v>
      </c>
      <c r="BA28" s="23">
        <f t="shared" si="26"/>
        <v>2.6561032863849765</v>
      </c>
      <c r="BB28" s="23">
        <f t="shared" si="27"/>
        <v>6.640258215962441</v>
      </c>
      <c r="BC28" s="23">
        <f t="shared" si="28"/>
        <v>0</v>
      </c>
      <c r="BD28" s="23">
        <f t="shared" si="29"/>
        <v>6.640258215962441</v>
      </c>
    </row>
    <row r="29" spans="1:56">
      <c r="A29" s="1" t="s">
        <v>20</v>
      </c>
      <c r="B29" s="1" t="s">
        <v>32</v>
      </c>
      <c r="C29" s="1" t="s">
        <v>22</v>
      </c>
      <c r="D29" s="1" t="s">
        <v>33</v>
      </c>
      <c r="E29" s="51" t="s">
        <v>107</v>
      </c>
      <c r="F29" s="51" t="s">
        <v>114</v>
      </c>
      <c r="G29" s="51" t="s">
        <v>109</v>
      </c>
      <c r="H29" s="51" t="s">
        <v>308</v>
      </c>
      <c r="I29" s="1" t="s">
        <v>309</v>
      </c>
      <c r="J29" s="51" t="s">
        <v>112</v>
      </c>
      <c r="K29" s="51" t="s">
        <v>112</v>
      </c>
      <c r="L29" s="51" t="s">
        <v>112</v>
      </c>
      <c r="M29" s="1">
        <v>808964</v>
      </c>
      <c r="N29" s="50" t="s">
        <v>310</v>
      </c>
      <c r="O29" s="55">
        <f t="shared" si="32"/>
        <v>40634</v>
      </c>
      <c r="P29" s="55">
        <f t="shared" si="33"/>
        <v>41698</v>
      </c>
      <c r="Q29" s="51">
        <v>3160</v>
      </c>
      <c r="S29" s="51">
        <v>2.5</v>
      </c>
      <c r="U29" s="1">
        <f t="shared" si="0"/>
        <v>1065</v>
      </c>
      <c r="V29" s="31">
        <f t="shared" si="1"/>
        <v>2.967136150234742</v>
      </c>
      <c r="W29" s="31">
        <f t="shared" si="2"/>
        <v>1083.0046948356808</v>
      </c>
      <c r="X29" s="31">
        <f t="shared" si="3"/>
        <v>1.3537558685446009</v>
      </c>
      <c r="AA29" s="32">
        <f t="shared" si="4"/>
        <v>42552</v>
      </c>
      <c r="AB29" s="32">
        <f t="shared" si="5"/>
        <v>42735</v>
      </c>
      <c r="AC29" s="50">
        <v>8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0.67687793427230047</v>
      </c>
      <c r="AK29" s="23">
        <f t="shared" si="13"/>
        <v>2.7075117370892019</v>
      </c>
      <c r="AL29" s="23">
        <f t="shared" si="14"/>
        <v>6.768779342723005</v>
      </c>
      <c r="AM29" s="23">
        <f t="shared" si="15"/>
        <v>0</v>
      </c>
      <c r="AN29" s="23">
        <f t="shared" si="16"/>
        <v>6.768779342723005</v>
      </c>
      <c r="AQ29" s="32">
        <f t="shared" si="17"/>
        <v>42736</v>
      </c>
      <c r="AR29" s="32">
        <f t="shared" si="18"/>
        <v>42916</v>
      </c>
      <c r="AS29" s="50">
        <v>7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0.67687793427230047</v>
      </c>
      <c r="BA29" s="23">
        <f t="shared" si="26"/>
        <v>2.3690727699530516</v>
      </c>
      <c r="BB29" s="23">
        <f t="shared" si="27"/>
        <v>5.922681924882629</v>
      </c>
      <c r="BC29" s="23">
        <f t="shared" si="28"/>
        <v>0</v>
      </c>
      <c r="BD29" s="23">
        <f t="shared" si="29"/>
        <v>5.922681924882629</v>
      </c>
    </row>
    <row r="30" spans="1:56">
      <c r="A30" s="1" t="s">
        <v>20</v>
      </c>
      <c r="B30" s="1" t="s">
        <v>32</v>
      </c>
      <c r="C30" s="1" t="s">
        <v>22</v>
      </c>
      <c r="D30" s="1" t="s">
        <v>33</v>
      </c>
      <c r="E30" s="51" t="s">
        <v>107</v>
      </c>
      <c r="F30" s="51" t="s">
        <v>114</v>
      </c>
      <c r="G30" s="51" t="s">
        <v>109</v>
      </c>
      <c r="H30" s="51" t="s">
        <v>311</v>
      </c>
      <c r="I30" s="1" t="s">
        <v>111</v>
      </c>
      <c r="J30" s="51" t="s">
        <v>112</v>
      </c>
      <c r="K30" s="51" t="s">
        <v>112</v>
      </c>
      <c r="L30" s="51" t="s">
        <v>112</v>
      </c>
      <c r="M30" s="1">
        <v>808965</v>
      </c>
      <c r="N30" s="50" t="s">
        <v>312</v>
      </c>
      <c r="O30" s="55">
        <f t="shared" si="32"/>
        <v>40634</v>
      </c>
      <c r="P30" s="55">
        <f t="shared" si="33"/>
        <v>41698</v>
      </c>
      <c r="Q30" s="51">
        <v>2920</v>
      </c>
      <c r="S30" s="51">
        <v>2.5</v>
      </c>
      <c r="U30" s="1">
        <f t="shared" si="0"/>
        <v>1065</v>
      </c>
      <c r="V30" s="31">
        <f t="shared" si="1"/>
        <v>2.7417840375586855</v>
      </c>
      <c r="W30" s="31">
        <f t="shared" si="2"/>
        <v>1000.7511737089202</v>
      </c>
      <c r="X30" s="31">
        <f t="shared" si="3"/>
        <v>1.2509389671361502</v>
      </c>
      <c r="AA30" s="32">
        <f t="shared" si="4"/>
        <v>42552</v>
      </c>
      <c r="AB30" s="32">
        <f t="shared" si="5"/>
        <v>42735</v>
      </c>
      <c r="AC30" s="50">
        <v>5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92</v>
      </c>
      <c r="AI30" s="23">
        <f t="shared" si="11"/>
        <v>0.5</v>
      </c>
      <c r="AJ30" s="23">
        <f t="shared" si="12"/>
        <v>0.62546948356807508</v>
      </c>
      <c r="AK30" s="23">
        <f t="shared" si="13"/>
        <v>1.5636737089201878</v>
      </c>
      <c r="AL30" s="23">
        <f t="shared" si="14"/>
        <v>3.9091842723004695</v>
      </c>
      <c r="AM30" s="23">
        <f t="shared" si="15"/>
        <v>0</v>
      </c>
      <c r="AN30" s="23">
        <f t="shared" si="16"/>
        <v>3.9091842723004695</v>
      </c>
      <c r="AQ30" s="32">
        <f t="shared" si="17"/>
        <v>42736</v>
      </c>
      <c r="AR30" s="32">
        <f t="shared" si="18"/>
        <v>42916</v>
      </c>
      <c r="AS30" s="50">
        <v>5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0.62546948356807508</v>
      </c>
      <c r="BA30" s="23">
        <f t="shared" si="26"/>
        <v>1.5636737089201878</v>
      </c>
      <c r="BB30" s="23">
        <f t="shared" si="27"/>
        <v>3.9091842723004695</v>
      </c>
      <c r="BC30" s="23">
        <f t="shared" si="28"/>
        <v>0</v>
      </c>
      <c r="BD30" s="23">
        <f t="shared" si="29"/>
        <v>3.9091842723004695</v>
      </c>
    </row>
    <row r="31" spans="1:56">
      <c r="A31" s="1" t="s">
        <v>20</v>
      </c>
      <c r="B31" s="1" t="s">
        <v>32</v>
      </c>
      <c r="C31" s="1" t="s">
        <v>22</v>
      </c>
      <c r="D31" s="1" t="s">
        <v>33</v>
      </c>
      <c r="E31" s="51" t="s">
        <v>107</v>
      </c>
      <c r="F31" s="51" t="s">
        <v>114</v>
      </c>
      <c r="G31" s="51" t="s">
        <v>109</v>
      </c>
      <c r="H31" s="51" t="s">
        <v>313</v>
      </c>
      <c r="I31" s="1" t="s">
        <v>116</v>
      </c>
      <c r="J31" s="51" t="s">
        <v>112</v>
      </c>
      <c r="K31" s="51" t="s">
        <v>112</v>
      </c>
      <c r="L31" s="51" t="s">
        <v>112</v>
      </c>
      <c r="M31" s="1">
        <v>808966</v>
      </c>
      <c r="N31" s="50" t="s">
        <v>314</v>
      </c>
      <c r="O31" s="55">
        <f t="shared" si="32"/>
        <v>40634</v>
      </c>
      <c r="P31" s="55">
        <f t="shared" si="33"/>
        <v>41698</v>
      </c>
      <c r="Q31" s="51">
        <v>3220</v>
      </c>
      <c r="S31" s="51">
        <v>2.5</v>
      </c>
      <c r="U31" s="1">
        <f t="shared" si="0"/>
        <v>1065</v>
      </c>
      <c r="V31" s="31">
        <f t="shared" si="1"/>
        <v>3.023474178403756</v>
      </c>
      <c r="W31" s="31">
        <f t="shared" si="2"/>
        <v>1103.5680751173709</v>
      </c>
      <c r="X31" s="31">
        <f t="shared" si="3"/>
        <v>1.3794600938967136</v>
      </c>
      <c r="AA31" s="32">
        <f t="shared" si="4"/>
        <v>42552</v>
      </c>
      <c r="AB31" s="32">
        <f t="shared" si="5"/>
        <v>42735</v>
      </c>
      <c r="AC31" s="50">
        <v>13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92</v>
      </c>
      <c r="AI31" s="23">
        <f t="shared" si="11"/>
        <v>0.5</v>
      </c>
      <c r="AJ31" s="23">
        <f t="shared" si="12"/>
        <v>0.68973004694835682</v>
      </c>
      <c r="AK31" s="23">
        <f t="shared" si="13"/>
        <v>4.4832453051643197</v>
      </c>
      <c r="AL31" s="23">
        <f t="shared" si="14"/>
        <v>11.2081132629108</v>
      </c>
      <c r="AM31" s="23">
        <f t="shared" si="15"/>
        <v>0</v>
      </c>
      <c r="AN31" s="23">
        <f t="shared" si="16"/>
        <v>11.2081132629108</v>
      </c>
      <c r="AQ31" s="32">
        <f t="shared" si="17"/>
        <v>42736</v>
      </c>
      <c r="AR31" s="32">
        <f t="shared" si="18"/>
        <v>42916</v>
      </c>
      <c r="AS31" s="50">
        <v>11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0.68973004694835682</v>
      </c>
      <c r="BA31" s="23">
        <f t="shared" si="26"/>
        <v>3.7935152582159626</v>
      </c>
      <c r="BB31" s="23">
        <f t="shared" si="27"/>
        <v>9.483788145539906</v>
      </c>
      <c r="BC31" s="23">
        <f t="shared" si="28"/>
        <v>0</v>
      </c>
      <c r="BD31" s="23">
        <f t="shared" si="29"/>
        <v>9.483788145539906</v>
      </c>
    </row>
    <row r="32" spans="1:56">
      <c r="A32" s="1" t="s">
        <v>20</v>
      </c>
      <c r="B32" s="1" t="s">
        <v>32</v>
      </c>
      <c r="C32" s="1" t="s">
        <v>22</v>
      </c>
      <c r="D32" s="1" t="s">
        <v>33</v>
      </c>
      <c r="E32" s="51" t="s">
        <v>107</v>
      </c>
      <c r="F32" s="51" t="s">
        <v>114</v>
      </c>
      <c r="G32" s="51" t="s">
        <v>109</v>
      </c>
      <c r="H32" s="51" t="s">
        <v>315</v>
      </c>
      <c r="I32" s="1" t="s">
        <v>147</v>
      </c>
      <c r="J32" s="51" t="s">
        <v>112</v>
      </c>
      <c r="K32" s="51" t="s">
        <v>112</v>
      </c>
      <c r="L32" s="51" t="s">
        <v>112</v>
      </c>
      <c r="M32" s="1">
        <v>808967</v>
      </c>
      <c r="N32" s="50" t="s">
        <v>316</v>
      </c>
      <c r="O32" s="55">
        <f t="shared" si="32"/>
        <v>40634</v>
      </c>
      <c r="P32" s="55">
        <f t="shared" si="33"/>
        <v>41698</v>
      </c>
      <c r="Q32" s="51">
        <v>3120</v>
      </c>
      <c r="S32" s="51">
        <v>2.5</v>
      </c>
      <c r="U32" s="1">
        <f t="shared" si="0"/>
        <v>1065</v>
      </c>
      <c r="V32" s="31">
        <f t="shared" si="1"/>
        <v>2.9295774647887325</v>
      </c>
      <c r="W32" s="31">
        <f t="shared" si="2"/>
        <v>1069.2957746478874</v>
      </c>
      <c r="X32" s="31">
        <f t="shared" si="3"/>
        <v>1.3366197183098592</v>
      </c>
      <c r="AA32" s="32">
        <f t="shared" si="4"/>
        <v>42552</v>
      </c>
      <c r="AB32" s="32">
        <f t="shared" si="5"/>
        <v>42735</v>
      </c>
      <c r="AC32" s="50">
        <v>5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0.66830985915492958</v>
      </c>
      <c r="AK32" s="23">
        <f t="shared" si="13"/>
        <v>1.670774647887324</v>
      </c>
      <c r="AL32" s="23">
        <f t="shared" si="14"/>
        <v>4.17693661971831</v>
      </c>
      <c r="AM32" s="23">
        <f t="shared" si="15"/>
        <v>0</v>
      </c>
      <c r="AN32" s="23">
        <f t="shared" si="16"/>
        <v>4.17693661971831</v>
      </c>
      <c r="AQ32" s="32">
        <f t="shared" si="17"/>
        <v>42736</v>
      </c>
      <c r="AR32" s="32">
        <f t="shared" si="18"/>
        <v>42916</v>
      </c>
      <c r="AS32" s="50">
        <v>2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0.66830985915492958</v>
      </c>
      <c r="BA32" s="23">
        <f t="shared" si="26"/>
        <v>0.66830985915492958</v>
      </c>
      <c r="BB32" s="23">
        <f t="shared" si="27"/>
        <v>1.670774647887324</v>
      </c>
      <c r="BC32" s="23">
        <f t="shared" si="28"/>
        <v>0</v>
      </c>
      <c r="BD32" s="23">
        <f t="shared" si="29"/>
        <v>1.670774647887324</v>
      </c>
    </row>
    <row r="33" spans="1:56">
      <c r="A33" s="1" t="s">
        <v>20</v>
      </c>
      <c r="B33" s="1" t="s">
        <v>32</v>
      </c>
      <c r="C33" s="1" t="s">
        <v>22</v>
      </c>
      <c r="D33" s="1" t="s">
        <v>33</v>
      </c>
      <c r="E33" s="51" t="s">
        <v>107</v>
      </c>
      <c r="F33" s="51" t="s">
        <v>114</v>
      </c>
      <c r="G33" s="51" t="s">
        <v>109</v>
      </c>
      <c r="H33" s="51" t="s">
        <v>317</v>
      </c>
      <c r="I33" s="1" t="s">
        <v>116</v>
      </c>
      <c r="J33" s="51" t="s">
        <v>112</v>
      </c>
      <c r="K33" s="51" t="s">
        <v>112</v>
      </c>
      <c r="L33" s="51" t="s">
        <v>112</v>
      </c>
      <c r="M33" s="1">
        <v>808968</v>
      </c>
      <c r="N33" s="50" t="s">
        <v>318</v>
      </c>
      <c r="O33" s="55">
        <f t="shared" si="32"/>
        <v>40634</v>
      </c>
      <c r="P33" s="55">
        <f t="shared" si="33"/>
        <v>41698</v>
      </c>
      <c r="Q33" s="51">
        <v>3140</v>
      </c>
      <c r="S33" s="51">
        <v>2.5</v>
      </c>
      <c r="U33" s="1">
        <f t="shared" si="0"/>
        <v>1065</v>
      </c>
      <c r="V33" s="31">
        <f t="shared" si="1"/>
        <v>2.948356807511737</v>
      </c>
      <c r="W33" s="31">
        <f t="shared" si="2"/>
        <v>1076.1502347417841</v>
      </c>
      <c r="X33" s="31">
        <f t="shared" si="3"/>
        <v>1.34518779342723</v>
      </c>
      <c r="AA33" s="32">
        <f t="shared" si="4"/>
        <v>42552</v>
      </c>
      <c r="AB33" s="32">
        <f t="shared" si="5"/>
        <v>42735</v>
      </c>
      <c r="AC33" s="50">
        <v>7</v>
      </c>
      <c r="AD33" s="1">
        <f t="shared" si="6"/>
        <v>0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92</v>
      </c>
      <c r="AI33" s="23">
        <f t="shared" si="11"/>
        <v>0.5</v>
      </c>
      <c r="AJ33" s="23">
        <f t="shared" si="12"/>
        <v>0.67259389671361502</v>
      </c>
      <c r="AK33" s="23">
        <f t="shared" si="13"/>
        <v>2.3540786384976524</v>
      </c>
      <c r="AL33" s="23">
        <f t="shared" si="14"/>
        <v>5.8851965962441311</v>
      </c>
      <c r="AM33" s="23">
        <f t="shared" si="15"/>
        <v>0</v>
      </c>
      <c r="AN33" s="23">
        <f t="shared" si="16"/>
        <v>5.8851965962441311</v>
      </c>
      <c r="AQ33" s="32">
        <f t="shared" si="17"/>
        <v>42736</v>
      </c>
      <c r="AR33" s="32">
        <f t="shared" si="18"/>
        <v>42916</v>
      </c>
      <c r="AS33" s="50">
        <v>6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0.67259389671361502</v>
      </c>
      <c r="BA33" s="23">
        <f t="shared" si="26"/>
        <v>2.0177816901408452</v>
      </c>
      <c r="BB33" s="23">
        <f t="shared" si="27"/>
        <v>5.044454225352113</v>
      </c>
      <c r="BC33" s="23">
        <f t="shared" si="28"/>
        <v>0</v>
      </c>
      <c r="BD33" s="23">
        <f t="shared" si="29"/>
        <v>5.044454225352113</v>
      </c>
    </row>
    <row r="34" spans="1:56">
      <c r="A34" s="1" t="s">
        <v>20</v>
      </c>
      <c r="B34" s="1" t="s">
        <v>32</v>
      </c>
      <c r="C34" s="1" t="s">
        <v>22</v>
      </c>
      <c r="D34" s="1" t="s">
        <v>33</v>
      </c>
      <c r="E34" s="51" t="s">
        <v>107</v>
      </c>
      <c r="F34" s="51" t="s">
        <v>114</v>
      </c>
      <c r="G34" s="51" t="s">
        <v>109</v>
      </c>
      <c r="H34" s="51" t="s">
        <v>152</v>
      </c>
      <c r="I34" s="1" t="s">
        <v>147</v>
      </c>
      <c r="J34" s="51" t="s">
        <v>112</v>
      </c>
      <c r="K34" s="51" t="s">
        <v>112</v>
      </c>
      <c r="L34" s="51" t="s">
        <v>112</v>
      </c>
      <c r="M34" s="1">
        <v>1600212</v>
      </c>
      <c r="N34" s="50" t="s">
        <v>319</v>
      </c>
      <c r="O34" s="55">
        <f t="shared" ref="O34:O46" si="34">DATE(2012,3,26)</f>
        <v>40994</v>
      </c>
      <c r="P34" s="55">
        <f t="shared" ref="P34:P43" si="35">DATE(2014,12,30)</f>
        <v>42003</v>
      </c>
      <c r="Q34" s="51">
        <v>3100</v>
      </c>
      <c r="S34" s="51">
        <v>2.5</v>
      </c>
      <c r="U34" s="1">
        <f t="shared" si="0"/>
        <v>1010</v>
      </c>
      <c r="V34" s="31">
        <f t="shared" si="1"/>
        <v>3.0693069306930694</v>
      </c>
      <c r="W34" s="31">
        <f t="shared" si="2"/>
        <v>1120.2970297029703</v>
      </c>
      <c r="X34" s="31">
        <f t="shared" si="3"/>
        <v>1.4003712871287128</v>
      </c>
      <c r="AA34" s="32">
        <f t="shared" si="4"/>
        <v>42552</v>
      </c>
      <c r="AB34" s="32">
        <f t="shared" si="5"/>
        <v>42735</v>
      </c>
      <c r="AC34" s="50">
        <v>8</v>
      </c>
      <c r="AD34" s="1">
        <f t="shared" si="6"/>
        <v>0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92</v>
      </c>
      <c r="AI34" s="23">
        <f t="shared" si="11"/>
        <v>0.5</v>
      </c>
      <c r="AJ34" s="23">
        <f t="shared" si="12"/>
        <v>0.70018564356435642</v>
      </c>
      <c r="AK34" s="23">
        <f t="shared" si="13"/>
        <v>2.8007425742574257</v>
      </c>
      <c r="AL34" s="23">
        <f t="shared" si="14"/>
        <v>7.001856435643564</v>
      </c>
      <c r="AM34" s="23">
        <f t="shared" si="15"/>
        <v>0</v>
      </c>
      <c r="AN34" s="23">
        <f t="shared" si="16"/>
        <v>7.001856435643564</v>
      </c>
      <c r="AQ34" s="32">
        <f t="shared" si="17"/>
        <v>42736</v>
      </c>
      <c r="AR34" s="32">
        <f t="shared" si="18"/>
        <v>42916</v>
      </c>
      <c r="AS34" s="50">
        <v>6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0.70018564356435642</v>
      </c>
      <c r="BA34" s="23">
        <f t="shared" si="26"/>
        <v>2.1005569306930694</v>
      </c>
      <c r="BB34" s="23">
        <f t="shared" si="27"/>
        <v>5.2513923267326739</v>
      </c>
      <c r="BC34" s="23">
        <f t="shared" si="28"/>
        <v>0</v>
      </c>
      <c r="BD34" s="23">
        <f t="shared" si="29"/>
        <v>5.2513923267326739</v>
      </c>
    </row>
    <row r="35" spans="1:56">
      <c r="A35" s="1" t="s">
        <v>20</v>
      </c>
      <c r="B35" s="1" t="s">
        <v>32</v>
      </c>
      <c r="C35" s="1" t="s">
        <v>22</v>
      </c>
      <c r="D35" s="1" t="s">
        <v>33</v>
      </c>
      <c r="E35" s="51" t="s">
        <v>107</v>
      </c>
      <c r="F35" s="51" t="s">
        <v>114</v>
      </c>
      <c r="G35" s="51" t="s">
        <v>109</v>
      </c>
      <c r="H35" s="51" t="s">
        <v>315</v>
      </c>
      <c r="I35" s="1" t="s">
        <v>147</v>
      </c>
      <c r="J35" s="51" t="s">
        <v>112</v>
      </c>
      <c r="K35" s="51" t="s">
        <v>112</v>
      </c>
      <c r="L35" s="51" t="s">
        <v>112</v>
      </c>
      <c r="M35" s="1">
        <v>1600213</v>
      </c>
      <c r="N35" s="50" t="s">
        <v>320</v>
      </c>
      <c r="O35" s="55">
        <f t="shared" si="34"/>
        <v>40994</v>
      </c>
      <c r="P35" s="55">
        <f t="shared" si="35"/>
        <v>42003</v>
      </c>
      <c r="Q35" s="51">
        <v>3120</v>
      </c>
      <c r="S35" s="51">
        <v>2.5</v>
      </c>
      <c r="U35" s="1">
        <f t="shared" si="0"/>
        <v>1010</v>
      </c>
      <c r="V35" s="31">
        <f t="shared" si="1"/>
        <v>3.0891089108910892</v>
      </c>
      <c r="W35" s="31">
        <f t="shared" si="2"/>
        <v>1127.5247524752476</v>
      </c>
      <c r="X35" s="31">
        <f t="shared" si="3"/>
        <v>1.4094059405940595</v>
      </c>
      <c r="AA35" s="32">
        <f t="shared" si="4"/>
        <v>42552</v>
      </c>
      <c r="AB35" s="32">
        <f t="shared" si="5"/>
        <v>42735</v>
      </c>
      <c r="AC35" s="50">
        <v>16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0.70470297029702977</v>
      </c>
      <c r="AK35" s="23">
        <f t="shared" si="13"/>
        <v>5.6376237623762382</v>
      </c>
      <c r="AL35" s="23">
        <f t="shared" si="14"/>
        <v>14.094059405940595</v>
      </c>
      <c r="AM35" s="23">
        <f t="shared" si="15"/>
        <v>0</v>
      </c>
      <c r="AN35" s="23">
        <f t="shared" si="16"/>
        <v>14.094059405940595</v>
      </c>
      <c r="AQ35" s="32">
        <f t="shared" si="17"/>
        <v>42736</v>
      </c>
      <c r="AR35" s="32">
        <f t="shared" si="18"/>
        <v>42916</v>
      </c>
      <c r="AS35" s="50">
        <v>9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0.70470297029702977</v>
      </c>
      <c r="BA35" s="23">
        <f t="shared" si="26"/>
        <v>3.1711633663366339</v>
      </c>
      <c r="BB35" s="23">
        <f t="shared" si="27"/>
        <v>7.9279084158415847</v>
      </c>
      <c r="BC35" s="23">
        <f t="shared" si="28"/>
        <v>0</v>
      </c>
      <c r="BD35" s="23">
        <f t="shared" si="29"/>
        <v>7.9279084158415847</v>
      </c>
    </row>
    <row r="36" spans="1:56">
      <c r="A36" s="1" t="s">
        <v>20</v>
      </c>
      <c r="B36" s="1" t="s">
        <v>32</v>
      </c>
      <c r="C36" s="1" t="s">
        <v>22</v>
      </c>
      <c r="D36" s="1" t="s">
        <v>33</v>
      </c>
      <c r="E36" s="51" t="s">
        <v>107</v>
      </c>
      <c r="F36" s="51" t="s">
        <v>114</v>
      </c>
      <c r="G36" s="51" t="s">
        <v>109</v>
      </c>
      <c r="H36" s="51" t="s">
        <v>317</v>
      </c>
      <c r="I36" s="1" t="s">
        <v>116</v>
      </c>
      <c r="J36" s="51" t="s">
        <v>112</v>
      </c>
      <c r="K36" s="51" t="s">
        <v>112</v>
      </c>
      <c r="L36" s="51" t="s">
        <v>112</v>
      </c>
      <c r="M36" s="1">
        <v>1600214</v>
      </c>
      <c r="N36" s="50" t="s">
        <v>321</v>
      </c>
      <c r="O36" s="55">
        <f t="shared" si="34"/>
        <v>40994</v>
      </c>
      <c r="P36" s="55">
        <f t="shared" si="35"/>
        <v>42003</v>
      </c>
      <c r="Q36" s="51">
        <v>3140</v>
      </c>
      <c r="S36" s="51">
        <v>2.5</v>
      </c>
      <c r="U36" s="1">
        <f t="shared" si="0"/>
        <v>1010</v>
      </c>
      <c r="V36" s="31">
        <f t="shared" si="1"/>
        <v>3.108910891089109</v>
      </c>
      <c r="W36" s="31">
        <f t="shared" si="2"/>
        <v>1134.7524752475249</v>
      </c>
      <c r="X36" s="31">
        <f t="shared" si="3"/>
        <v>1.418440594059406</v>
      </c>
      <c r="AA36" s="32">
        <f t="shared" si="4"/>
        <v>42552</v>
      </c>
      <c r="AB36" s="32">
        <f t="shared" si="5"/>
        <v>42735</v>
      </c>
      <c r="AC36" s="50">
        <v>17</v>
      </c>
      <c r="AD36" s="1">
        <f t="shared" si="6"/>
        <v>0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92</v>
      </c>
      <c r="AI36" s="23">
        <f t="shared" si="11"/>
        <v>0.5</v>
      </c>
      <c r="AJ36" s="23">
        <f t="shared" si="12"/>
        <v>0.70922029702970302</v>
      </c>
      <c r="AK36" s="23">
        <f t="shared" si="13"/>
        <v>6.0283725247524753</v>
      </c>
      <c r="AL36" s="23">
        <f t="shared" si="14"/>
        <v>15.070931311881189</v>
      </c>
      <c r="AM36" s="23">
        <f t="shared" si="15"/>
        <v>0</v>
      </c>
      <c r="AN36" s="23">
        <f t="shared" si="16"/>
        <v>15.070931311881189</v>
      </c>
      <c r="AQ36" s="32">
        <f t="shared" si="17"/>
        <v>42736</v>
      </c>
      <c r="AR36" s="32">
        <f t="shared" si="18"/>
        <v>42916</v>
      </c>
      <c r="AS36" s="50">
        <v>12</v>
      </c>
      <c r="AT36" s="1">
        <f t="shared" si="19"/>
        <v>0</v>
      </c>
      <c r="AU36" s="1">
        <f t="shared" si="20"/>
        <v>0</v>
      </c>
      <c r="AV36" s="1">
        <f t="shared" si="21"/>
        <v>0</v>
      </c>
      <c r="AW36" s="1">
        <f t="shared" si="22"/>
        <v>0</v>
      </c>
      <c r="AX36" s="1">
        <f t="shared" si="23"/>
        <v>90.5</v>
      </c>
      <c r="AY36" s="23">
        <f t="shared" si="24"/>
        <v>0.5</v>
      </c>
      <c r="AZ36" s="23">
        <f t="shared" si="25"/>
        <v>0.70922029702970302</v>
      </c>
      <c r="BA36" s="23">
        <f t="shared" si="26"/>
        <v>4.2553217821782177</v>
      </c>
      <c r="BB36" s="23">
        <f t="shared" si="27"/>
        <v>10.638304455445544</v>
      </c>
      <c r="BC36" s="23">
        <f t="shared" si="28"/>
        <v>0</v>
      </c>
      <c r="BD36" s="23">
        <f t="shared" si="29"/>
        <v>10.638304455445544</v>
      </c>
    </row>
    <row r="37" spans="1:56">
      <c r="A37" s="1" t="s">
        <v>20</v>
      </c>
      <c r="B37" s="1" t="s">
        <v>32</v>
      </c>
      <c r="C37" s="1" t="s">
        <v>22</v>
      </c>
      <c r="D37" s="1" t="s">
        <v>33</v>
      </c>
      <c r="E37" s="51" t="s">
        <v>107</v>
      </c>
      <c r="F37" s="51" t="s">
        <v>114</v>
      </c>
      <c r="G37" s="51" t="s">
        <v>109</v>
      </c>
      <c r="H37" s="51" t="s">
        <v>308</v>
      </c>
      <c r="I37" s="1" t="s">
        <v>309</v>
      </c>
      <c r="J37" s="51" t="s">
        <v>112</v>
      </c>
      <c r="K37" s="51" t="s">
        <v>112</v>
      </c>
      <c r="L37" s="51" t="s">
        <v>112</v>
      </c>
      <c r="M37" s="1">
        <v>1600215</v>
      </c>
      <c r="N37" s="50" t="s">
        <v>322</v>
      </c>
      <c r="O37" s="55">
        <f t="shared" si="34"/>
        <v>40994</v>
      </c>
      <c r="P37" s="55">
        <f t="shared" si="35"/>
        <v>42003</v>
      </c>
      <c r="Q37" s="51">
        <v>3160</v>
      </c>
      <c r="S37" s="51">
        <v>2.5</v>
      </c>
      <c r="U37" s="1">
        <f t="shared" si="0"/>
        <v>1010</v>
      </c>
      <c r="V37" s="31">
        <f t="shared" si="1"/>
        <v>3.1287128712871288</v>
      </c>
      <c r="W37" s="31">
        <f t="shared" si="2"/>
        <v>1141.9801980198019</v>
      </c>
      <c r="X37" s="31">
        <f t="shared" si="3"/>
        <v>1.4274752475247525</v>
      </c>
      <c r="AA37" s="32">
        <f t="shared" si="4"/>
        <v>42552</v>
      </c>
      <c r="AB37" s="32">
        <f t="shared" si="5"/>
        <v>42735</v>
      </c>
      <c r="AC37" s="50">
        <v>11</v>
      </c>
      <c r="AD37" s="1">
        <f t="shared" si="6"/>
        <v>0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92</v>
      </c>
      <c r="AI37" s="23">
        <f t="shared" si="11"/>
        <v>0.5</v>
      </c>
      <c r="AJ37" s="23">
        <f t="shared" si="12"/>
        <v>0.71373762376237626</v>
      </c>
      <c r="AK37" s="23">
        <f t="shared" si="13"/>
        <v>3.9255569306930695</v>
      </c>
      <c r="AL37" s="23">
        <f t="shared" si="14"/>
        <v>9.8138923267326739</v>
      </c>
      <c r="AM37" s="23">
        <f t="shared" si="15"/>
        <v>0</v>
      </c>
      <c r="AN37" s="23">
        <f t="shared" si="16"/>
        <v>9.8138923267326739</v>
      </c>
      <c r="AQ37" s="32">
        <f t="shared" si="17"/>
        <v>42736</v>
      </c>
      <c r="AR37" s="32">
        <f t="shared" si="18"/>
        <v>42916</v>
      </c>
      <c r="AS37" s="50">
        <v>6</v>
      </c>
      <c r="AT37" s="1">
        <f t="shared" si="19"/>
        <v>0</v>
      </c>
      <c r="AU37" s="1">
        <f t="shared" si="20"/>
        <v>0</v>
      </c>
      <c r="AV37" s="1">
        <f t="shared" si="21"/>
        <v>0</v>
      </c>
      <c r="AW37" s="1">
        <f t="shared" si="22"/>
        <v>0</v>
      </c>
      <c r="AX37" s="1">
        <f t="shared" si="23"/>
        <v>90.5</v>
      </c>
      <c r="AY37" s="23">
        <f t="shared" si="24"/>
        <v>0.5</v>
      </c>
      <c r="AZ37" s="23">
        <f t="shared" si="25"/>
        <v>0.71373762376237626</v>
      </c>
      <c r="BA37" s="23">
        <f t="shared" si="26"/>
        <v>2.141212871287129</v>
      </c>
      <c r="BB37" s="23">
        <f t="shared" si="27"/>
        <v>5.3530321782178225</v>
      </c>
      <c r="BC37" s="23">
        <f t="shared" si="28"/>
        <v>0</v>
      </c>
      <c r="BD37" s="23">
        <f t="shared" si="29"/>
        <v>5.3530321782178225</v>
      </c>
    </row>
    <row r="38" spans="1:56">
      <c r="A38" s="1" t="s">
        <v>20</v>
      </c>
      <c r="B38" s="1" t="s">
        <v>32</v>
      </c>
      <c r="C38" s="1" t="s">
        <v>22</v>
      </c>
      <c r="D38" s="1" t="s">
        <v>33</v>
      </c>
      <c r="E38" s="51" t="s">
        <v>107</v>
      </c>
      <c r="F38" s="51" t="s">
        <v>114</v>
      </c>
      <c r="G38" s="51" t="s">
        <v>109</v>
      </c>
      <c r="H38" s="51" t="s">
        <v>313</v>
      </c>
      <c r="I38" s="1" t="s">
        <v>116</v>
      </c>
      <c r="J38" s="51" t="s">
        <v>112</v>
      </c>
      <c r="K38" s="51" t="s">
        <v>112</v>
      </c>
      <c r="L38" s="51" t="s">
        <v>112</v>
      </c>
      <c r="M38" s="1">
        <v>1600216</v>
      </c>
      <c r="N38" s="50" t="s">
        <v>323</v>
      </c>
      <c r="O38" s="55">
        <f t="shared" si="34"/>
        <v>40994</v>
      </c>
      <c r="P38" s="55">
        <f t="shared" si="35"/>
        <v>42003</v>
      </c>
      <c r="Q38" s="51">
        <v>3220</v>
      </c>
      <c r="S38" s="51">
        <v>2.5</v>
      </c>
      <c r="U38" s="1">
        <f t="shared" si="0"/>
        <v>1010</v>
      </c>
      <c r="V38" s="31">
        <f t="shared" si="1"/>
        <v>3.1881188118811883</v>
      </c>
      <c r="W38" s="31">
        <f t="shared" si="2"/>
        <v>1163.6633663366338</v>
      </c>
      <c r="X38" s="31">
        <f t="shared" si="3"/>
        <v>1.4545792079207922</v>
      </c>
      <c r="AA38" s="32">
        <f t="shared" si="4"/>
        <v>42552</v>
      </c>
      <c r="AB38" s="32">
        <f t="shared" si="5"/>
        <v>42735</v>
      </c>
      <c r="AC38" s="50">
        <v>32</v>
      </c>
      <c r="AD38" s="1">
        <f t="shared" si="6"/>
        <v>0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92</v>
      </c>
      <c r="AI38" s="23">
        <f t="shared" si="11"/>
        <v>0.5</v>
      </c>
      <c r="AJ38" s="23">
        <f t="shared" si="12"/>
        <v>0.7272896039603961</v>
      </c>
      <c r="AK38" s="23">
        <f t="shared" si="13"/>
        <v>11.636633663366338</v>
      </c>
      <c r="AL38" s="23">
        <f t="shared" si="14"/>
        <v>29.091584158415845</v>
      </c>
      <c r="AM38" s="23">
        <f t="shared" si="15"/>
        <v>0</v>
      </c>
      <c r="AN38" s="23">
        <f t="shared" si="16"/>
        <v>29.091584158415845</v>
      </c>
      <c r="AQ38" s="32">
        <f t="shared" si="17"/>
        <v>42736</v>
      </c>
      <c r="AR38" s="32">
        <f t="shared" si="18"/>
        <v>42916</v>
      </c>
      <c r="AS38" s="50">
        <v>12</v>
      </c>
      <c r="AT38" s="1">
        <f t="shared" si="19"/>
        <v>0</v>
      </c>
      <c r="AU38" s="1">
        <f t="shared" si="20"/>
        <v>0</v>
      </c>
      <c r="AV38" s="1">
        <f t="shared" si="21"/>
        <v>0</v>
      </c>
      <c r="AW38" s="1">
        <f t="shared" si="22"/>
        <v>0</v>
      </c>
      <c r="AX38" s="1">
        <f t="shared" si="23"/>
        <v>90.5</v>
      </c>
      <c r="AY38" s="23">
        <f t="shared" si="24"/>
        <v>0.5</v>
      </c>
      <c r="AZ38" s="23">
        <f t="shared" si="25"/>
        <v>0.7272896039603961</v>
      </c>
      <c r="BA38" s="23">
        <f t="shared" si="26"/>
        <v>4.3637376237623764</v>
      </c>
      <c r="BB38" s="23">
        <f t="shared" si="27"/>
        <v>10.909344059405941</v>
      </c>
      <c r="BC38" s="23">
        <f t="shared" si="28"/>
        <v>0</v>
      </c>
      <c r="BD38" s="23">
        <f t="shared" si="29"/>
        <v>10.909344059405941</v>
      </c>
    </row>
    <row r="39" spans="1:56">
      <c r="A39" s="1" t="s">
        <v>20</v>
      </c>
      <c r="B39" s="1" t="s">
        <v>32</v>
      </c>
      <c r="C39" s="1" t="s">
        <v>22</v>
      </c>
      <c r="D39" s="1" t="s">
        <v>33</v>
      </c>
      <c r="E39" s="51" t="s">
        <v>107</v>
      </c>
      <c r="F39" s="51" t="s">
        <v>114</v>
      </c>
      <c r="G39" s="51" t="s">
        <v>109</v>
      </c>
      <c r="H39" s="51" t="s">
        <v>311</v>
      </c>
      <c r="I39" s="1" t="s">
        <v>111</v>
      </c>
      <c r="J39" s="51" t="s">
        <v>112</v>
      </c>
      <c r="K39" s="51" t="s">
        <v>112</v>
      </c>
      <c r="L39" s="51" t="s">
        <v>112</v>
      </c>
      <c r="M39" s="1">
        <v>1600217</v>
      </c>
      <c r="N39" s="50" t="s">
        <v>324</v>
      </c>
      <c r="O39" s="55">
        <f t="shared" si="34"/>
        <v>40994</v>
      </c>
      <c r="P39" s="55">
        <f t="shared" si="35"/>
        <v>42003</v>
      </c>
      <c r="Q39" s="51">
        <v>2920</v>
      </c>
      <c r="S39" s="51">
        <v>2.5</v>
      </c>
      <c r="U39" s="1">
        <f t="shared" si="0"/>
        <v>1010</v>
      </c>
      <c r="V39" s="31">
        <f t="shared" si="1"/>
        <v>2.891089108910891</v>
      </c>
      <c r="W39" s="31">
        <f t="shared" si="2"/>
        <v>1055.2475247524751</v>
      </c>
      <c r="X39" s="31">
        <f t="shared" si="3"/>
        <v>1.3190594059405938</v>
      </c>
      <c r="AA39" s="32">
        <f t="shared" si="4"/>
        <v>42552</v>
      </c>
      <c r="AB39" s="32">
        <f t="shared" si="5"/>
        <v>42735</v>
      </c>
      <c r="AC39" s="50">
        <v>19</v>
      </c>
      <c r="AD39" s="1">
        <f t="shared" si="6"/>
        <v>0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92</v>
      </c>
      <c r="AI39" s="23">
        <f t="shared" si="11"/>
        <v>0.5</v>
      </c>
      <c r="AJ39" s="23">
        <f t="shared" si="12"/>
        <v>0.65952970297029689</v>
      </c>
      <c r="AK39" s="23">
        <f t="shared" si="13"/>
        <v>6.2655321782178204</v>
      </c>
      <c r="AL39" s="23">
        <f t="shared" si="14"/>
        <v>15.663830445544551</v>
      </c>
      <c r="AM39" s="23">
        <f t="shared" si="15"/>
        <v>0</v>
      </c>
      <c r="AN39" s="23">
        <f t="shared" si="16"/>
        <v>15.663830445544551</v>
      </c>
      <c r="AQ39" s="32">
        <f t="shared" si="17"/>
        <v>42736</v>
      </c>
      <c r="AR39" s="32">
        <f t="shared" si="18"/>
        <v>42916</v>
      </c>
      <c r="AS39" s="50">
        <v>12</v>
      </c>
      <c r="AT39" s="1">
        <f t="shared" si="19"/>
        <v>0</v>
      </c>
      <c r="AU39" s="1">
        <f t="shared" si="20"/>
        <v>0</v>
      </c>
      <c r="AV39" s="1">
        <f t="shared" si="21"/>
        <v>0</v>
      </c>
      <c r="AW39" s="1">
        <f t="shared" si="22"/>
        <v>0</v>
      </c>
      <c r="AX39" s="1">
        <f t="shared" si="23"/>
        <v>90.5</v>
      </c>
      <c r="AY39" s="23">
        <f t="shared" si="24"/>
        <v>0.5</v>
      </c>
      <c r="AZ39" s="23">
        <f t="shared" si="25"/>
        <v>0.65952970297029689</v>
      </c>
      <c r="BA39" s="23">
        <f t="shared" si="26"/>
        <v>3.9571782178217814</v>
      </c>
      <c r="BB39" s="23">
        <f t="shared" si="27"/>
        <v>9.8929455445544541</v>
      </c>
      <c r="BC39" s="23">
        <f t="shared" si="28"/>
        <v>0</v>
      </c>
      <c r="BD39" s="23">
        <f t="shared" si="29"/>
        <v>9.8929455445544541</v>
      </c>
    </row>
    <row r="40" spans="1:56">
      <c r="A40" s="1" t="s">
        <v>20</v>
      </c>
      <c r="B40" s="1" t="s">
        <v>32</v>
      </c>
      <c r="C40" s="1" t="s">
        <v>22</v>
      </c>
      <c r="D40" s="1" t="s">
        <v>33</v>
      </c>
      <c r="E40" s="51" t="s">
        <v>107</v>
      </c>
      <c r="F40" s="51" t="s">
        <v>114</v>
      </c>
      <c r="G40" s="51" t="s">
        <v>109</v>
      </c>
      <c r="H40" s="51" t="s">
        <v>130</v>
      </c>
      <c r="I40" s="1" t="s">
        <v>131</v>
      </c>
      <c r="J40" s="51" t="s">
        <v>112</v>
      </c>
      <c r="K40" s="51" t="s">
        <v>112</v>
      </c>
      <c r="L40" s="51" t="s">
        <v>112</v>
      </c>
      <c r="M40" s="1">
        <v>1600218</v>
      </c>
      <c r="N40" s="50" t="s">
        <v>325</v>
      </c>
      <c r="O40" s="55">
        <f t="shared" si="34"/>
        <v>40994</v>
      </c>
      <c r="P40" s="55">
        <f t="shared" si="35"/>
        <v>42003</v>
      </c>
      <c r="Q40" s="51">
        <v>3360</v>
      </c>
      <c r="S40" s="51">
        <v>2.5</v>
      </c>
      <c r="U40" s="1">
        <f t="shared" si="0"/>
        <v>1010</v>
      </c>
      <c r="V40" s="31">
        <f t="shared" si="1"/>
        <v>3.3267326732673266</v>
      </c>
      <c r="W40" s="31">
        <f t="shared" si="2"/>
        <v>1214.2574257425742</v>
      </c>
      <c r="X40" s="31">
        <f t="shared" si="3"/>
        <v>1.5178217821782178</v>
      </c>
      <c r="AA40" s="32">
        <f t="shared" si="4"/>
        <v>42552</v>
      </c>
      <c r="AB40" s="32">
        <f t="shared" si="5"/>
        <v>42735</v>
      </c>
      <c r="AC40" s="50">
        <v>16</v>
      </c>
      <c r="AD40" s="1">
        <f t="shared" si="6"/>
        <v>0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92</v>
      </c>
      <c r="AI40" s="23">
        <f t="shared" si="11"/>
        <v>0.5</v>
      </c>
      <c r="AJ40" s="23">
        <f t="shared" si="12"/>
        <v>0.75891089108910892</v>
      </c>
      <c r="AK40" s="23">
        <f t="shared" si="13"/>
        <v>6.0712871287128714</v>
      </c>
      <c r="AL40" s="23">
        <f t="shared" si="14"/>
        <v>15.178217821782178</v>
      </c>
      <c r="AM40" s="23">
        <f t="shared" si="15"/>
        <v>0</v>
      </c>
      <c r="AN40" s="23">
        <f t="shared" si="16"/>
        <v>15.178217821782178</v>
      </c>
      <c r="AQ40" s="32">
        <f t="shared" si="17"/>
        <v>42736</v>
      </c>
      <c r="AR40" s="32">
        <f t="shared" si="18"/>
        <v>42916</v>
      </c>
      <c r="AS40" s="50">
        <v>16</v>
      </c>
      <c r="AT40" s="1">
        <f t="shared" si="19"/>
        <v>0</v>
      </c>
      <c r="AU40" s="1">
        <f t="shared" si="20"/>
        <v>0</v>
      </c>
      <c r="AV40" s="1">
        <f t="shared" si="21"/>
        <v>0</v>
      </c>
      <c r="AW40" s="1">
        <f t="shared" si="22"/>
        <v>0</v>
      </c>
      <c r="AX40" s="1">
        <f t="shared" si="23"/>
        <v>90.5</v>
      </c>
      <c r="AY40" s="23">
        <f t="shared" si="24"/>
        <v>0.5</v>
      </c>
      <c r="AZ40" s="23">
        <f t="shared" si="25"/>
        <v>0.75891089108910892</v>
      </c>
      <c r="BA40" s="23">
        <f t="shared" si="26"/>
        <v>6.0712871287128714</v>
      </c>
      <c r="BB40" s="23">
        <f t="shared" si="27"/>
        <v>15.178217821782178</v>
      </c>
      <c r="BC40" s="23">
        <f t="shared" si="28"/>
        <v>0</v>
      </c>
      <c r="BD40" s="23">
        <f t="shared" si="29"/>
        <v>15.178217821782178</v>
      </c>
    </row>
    <row r="41" spans="1:56">
      <c r="A41" s="1" t="s">
        <v>20</v>
      </c>
      <c r="B41" s="1" t="s">
        <v>32</v>
      </c>
      <c r="C41" s="1" t="s">
        <v>22</v>
      </c>
      <c r="D41" s="1" t="s">
        <v>33</v>
      </c>
      <c r="E41" s="51" t="s">
        <v>107</v>
      </c>
      <c r="F41" s="51" t="s">
        <v>294</v>
      </c>
      <c r="G41" s="51" t="s">
        <v>109</v>
      </c>
      <c r="H41" s="51" t="s">
        <v>305</v>
      </c>
      <c r="I41" s="1" t="s">
        <v>234</v>
      </c>
      <c r="J41" s="51" t="s">
        <v>112</v>
      </c>
      <c r="K41" s="51" t="s">
        <v>112</v>
      </c>
      <c r="L41" s="51" t="s">
        <v>112</v>
      </c>
      <c r="M41" s="1">
        <v>1600219</v>
      </c>
      <c r="N41" s="50" t="s">
        <v>326</v>
      </c>
      <c r="O41" s="55">
        <f t="shared" si="34"/>
        <v>40994</v>
      </c>
      <c r="P41" s="55">
        <f t="shared" si="35"/>
        <v>42003</v>
      </c>
      <c r="Q41" s="51">
        <v>2360</v>
      </c>
      <c r="S41" s="51">
        <v>1</v>
      </c>
      <c r="U41" s="1">
        <f t="shared" si="0"/>
        <v>1010</v>
      </c>
      <c r="V41" s="31">
        <f t="shared" si="1"/>
        <v>2.3366336633663365</v>
      </c>
      <c r="W41" s="31">
        <f t="shared" si="2"/>
        <v>852.87128712871277</v>
      </c>
      <c r="X41" s="31">
        <f t="shared" si="3"/>
        <v>1.066089108910891</v>
      </c>
      <c r="AA41" s="32">
        <f t="shared" si="4"/>
        <v>42552</v>
      </c>
      <c r="AB41" s="32">
        <f t="shared" si="5"/>
        <v>42735</v>
      </c>
      <c r="AC41" s="50">
        <v>7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92</v>
      </c>
      <c r="AI41" s="23">
        <f t="shared" si="11"/>
        <v>0.5</v>
      </c>
      <c r="AJ41" s="23">
        <f t="shared" si="12"/>
        <v>0.53304455445544552</v>
      </c>
      <c r="AK41" s="23">
        <f t="shared" si="13"/>
        <v>1.8656559405940594</v>
      </c>
      <c r="AL41" s="23">
        <f t="shared" si="14"/>
        <v>1.8656559405940594</v>
      </c>
      <c r="AM41" s="23">
        <f t="shared" si="15"/>
        <v>0</v>
      </c>
      <c r="AN41" s="23">
        <f t="shared" si="16"/>
        <v>1.8656559405940594</v>
      </c>
      <c r="AQ41" s="32">
        <f t="shared" si="17"/>
        <v>42736</v>
      </c>
      <c r="AR41" s="32">
        <f t="shared" si="18"/>
        <v>42916</v>
      </c>
      <c r="AS41" s="50">
        <v>4</v>
      </c>
      <c r="AT41" s="1">
        <f t="shared" si="19"/>
        <v>0</v>
      </c>
      <c r="AU41" s="1">
        <f t="shared" si="20"/>
        <v>0</v>
      </c>
      <c r="AV41" s="1">
        <f t="shared" si="21"/>
        <v>0</v>
      </c>
      <c r="AW41" s="1">
        <f t="shared" si="22"/>
        <v>0</v>
      </c>
      <c r="AX41" s="1">
        <f t="shared" si="23"/>
        <v>90.5</v>
      </c>
      <c r="AY41" s="23">
        <f t="shared" si="24"/>
        <v>0.5</v>
      </c>
      <c r="AZ41" s="23">
        <f t="shared" si="25"/>
        <v>0.53304455445544552</v>
      </c>
      <c r="BA41" s="23">
        <f t="shared" si="26"/>
        <v>1.066089108910891</v>
      </c>
      <c r="BB41" s="23">
        <f t="shared" si="27"/>
        <v>1.066089108910891</v>
      </c>
      <c r="BC41" s="23">
        <f t="shared" si="28"/>
        <v>0</v>
      </c>
      <c r="BD41" s="23">
        <f t="shared" si="29"/>
        <v>1.066089108910891</v>
      </c>
    </row>
    <row r="42" spans="1:56">
      <c r="A42" s="1" t="s">
        <v>20</v>
      </c>
      <c r="B42" s="1" t="s">
        <v>32</v>
      </c>
      <c r="C42" s="1" t="s">
        <v>22</v>
      </c>
      <c r="D42" s="1" t="s">
        <v>33</v>
      </c>
      <c r="E42" s="51" t="s">
        <v>107</v>
      </c>
      <c r="F42" s="51" t="s">
        <v>294</v>
      </c>
      <c r="G42" s="51" t="s">
        <v>109</v>
      </c>
      <c r="H42" s="51" t="s">
        <v>297</v>
      </c>
      <c r="I42" s="1" t="s">
        <v>147</v>
      </c>
      <c r="J42" s="51" t="s">
        <v>112</v>
      </c>
      <c r="K42" s="51" t="s">
        <v>112</v>
      </c>
      <c r="L42" s="51" t="s">
        <v>112</v>
      </c>
      <c r="M42" s="1">
        <v>1600220</v>
      </c>
      <c r="N42" s="50" t="s">
        <v>327</v>
      </c>
      <c r="O42" s="55">
        <f t="shared" si="34"/>
        <v>40994</v>
      </c>
      <c r="P42" s="55">
        <f t="shared" si="35"/>
        <v>42003</v>
      </c>
      <c r="Q42" s="51">
        <v>2720</v>
      </c>
      <c r="S42" s="51">
        <v>2</v>
      </c>
      <c r="U42" s="1">
        <f t="shared" si="0"/>
        <v>1010</v>
      </c>
      <c r="V42" s="31">
        <f t="shared" si="1"/>
        <v>2.6930693069306932</v>
      </c>
      <c r="W42" s="31">
        <f t="shared" si="2"/>
        <v>982.97029702970303</v>
      </c>
      <c r="X42" s="31">
        <f t="shared" si="3"/>
        <v>1.2287128712871287</v>
      </c>
      <c r="AA42" s="32">
        <f t="shared" si="4"/>
        <v>42552</v>
      </c>
      <c r="AB42" s="32">
        <f t="shared" si="5"/>
        <v>42735</v>
      </c>
      <c r="AC42" s="50">
        <v>8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92</v>
      </c>
      <c r="AI42" s="23">
        <f t="shared" si="11"/>
        <v>0.5</v>
      </c>
      <c r="AJ42" s="23">
        <f t="shared" si="12"/>
        <v>0.61435643564356435</v>
      </c>
      <c r="AK42" s="23">
        <f t="shared" si="13"/>
        <v>2.4574257425742574</v>
      </c>
      <c r="AL42" s="23">
        <f t="shared" si="14"/>
        <v>4.9148514851485148</v>
      </c>
      <c r="AM42" s="23">
        <f t="shared" si="15"/>
        <v>0</v>
      </c>
      <c r="AN42" s="23">
        <f t="shared" si="16"/>
        <v>4.9148514851485148</v>
      </c>
      <c r="AQ42" s="32">
        <f t="shared" si="17"/>
        <v>42736</v>
      </c>
      <c r="AR42" s="32">
        <f t="shared" si="18"/>
        <v>42916</v>
      </c>
      <c r="AS42" s="50">
        <v>6</v>
      </c>
      <c r="AT42" s="1">
        <f t="shared" si="19"/>
        <v>0</v>
      </c>
      <c r="AU42" s="1">
        <f t="shared" si="20"/>
        <v>0</v>
      </c>
      <c r="AV42" s="1">
        <f t="shared" si="21"/>
        <v>0</v>
      </c>
      <c r="AW42" s="1">
        <f t="shared" si="22"/>
        <v>0</v>
      </c>
      <c r="AX42" s="1">
        <f t="shared" si="23"/>
        <v>90.5</v>
      </c>
      <c r="AY42" s="23">
        <f t="shared" si="24"/>
        <v>0.5</v>
      </c>
      <c r="AZ42" s="23">
        <f t="shared" si="25"/>
        <v>0.61435643564356435</v>
      </c>
      <c r="BA42" s="23">
        <f t="shared" si="26"/>
        <v>1.8430693069306932</v>
      </c>
      <c r="BB42" s="23">
        <f t="shared" si="27"/>
        <v>3.6861386138613863</v>
      </c>
      <c r="BC42" s="23">
        <f t="shared" si="28"/>
        <v>0</v>
      </c>
      <c r="BD42" s="23">
        <f t="shared" si="29"/>
        <v>3.6861386138613863</v>
      </c>
    </row>
    <row r="43" spans="1:56">
      <c r="A43" s="1" t="s">
        <v>20</v>
      </c>
      <c r="B43" s="1" t="s">
        <v>32</v>
      </c>
      <c r="C43" s="1" t="s">
        <v>22</v>
      </c>
      <c r="D43" s="1" t="s">
        <v>33</v>
      </c>
      <c r="E43" s="51" t="s">
        <v>107</v>
      </c>
      <c r="F43" s="51" t="s">
        <v>294</v>
      </c>
      <c r="G43" s="51" t="s">
        <v>109</v>
      </c>
      <c r="H43" s="51" t="s">
        <v>295</v>
      </c>
      <c r="I43" s="1" t="s">
        <v>111</v>
      </c>
      <c r="J43" s="51" t="s">
        <v>112</v>
      </c>
      <c r="K43" s="51" t="s">
        <v>112</v>
      </c>
      <c r="L43" s="51" t="s">
        <v>112</v>
      </c>
      <c r="M43" s="1">
        <v>1600221</v>
      </c>
      <c r="N43" s="50" t="s">
        <v>328</v>
      </c>
      <c r="O43" s="55">
        <f t="shared" si="34"/>
        <v>40994</v>
      </c>
      <c r="P43" s="55">
        <f t="shared" si="35"/>
        <v>42003</v>
      </c>
      <c r="Q43" s="51">
        <v>2840</v>
      </c>
      <c r="S43" s="51">
        <v>2.5</v>
      </c>
      <c r="U43" s="1">
        <f t="shared" si="0"/>
        <v>1010</v>
      </c>
      <c r="V43" s="31">
        <f t="shared" si="1"/>
        <v>2.8118811881188117</v>
      </c>
      <c r="W43" s="31">
        <f t="shared" si="2"/>
        <v>1026.3366336633662</v>
      </c>
      <c r="X43" s="31">
        <f t="shared" si="3"/>
        <v>1.2829207920792078</v>
      </c>
      <c r="AA43" s="32">
        <f t="shared" si="4"/>
        <v>42552</v>
      </c>
      <c r="AB43" s="32">
        <f t="shared" si="5"/>
        <v>42735</v>
      </c>
      <c r="AC43" s="50">
        <v>14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92</v>
      </c>
      <c r="AI43" s="23">
        <f t="shared" si="11"/>
        <v>0.5</v>
      </c>
      <c r="AJ43" s="23">
        <f t="shared" si="12"/>
        <v>0.64146039603960392</v>
      </c>
      <c r="AK43" s="23">
        <f t="shared" si="13"/>
        <v>4.4902227722772272</v>
      </c>
      <c r="AL43" s="23">
        <f t="shared" si="14"/>
        <v>11.225556930693068</v>
      </c>
      <c r="AM43" s="23">
        <f t="shared" si="15"/>
        <v>0</v>
      </c>
      <c r="AN43" s="23">
        <f t="shared" si="16"/>
        <v>11.225556930693068</v>
      </c>
      <c r="AQ43" s="32">
        <f t="shared" si="17"/>
        <v>42736</v>
      </c>
      <c r="AR43" s="32">
        <f t="shared" si="18"/>
        <v>42916</v>
      </c>
      <c r="AS43" s="50">
        <v>14</v>
      </c>
      <c r="AT43" s="1">
        <f t="shared" si="19"/>
        <v>0</v>
      </c>
      <c r="AU43" s="1">
        <f t="shared" si="20"/>
        <v>0</v>
      </c>
      <c r="AV43" s="1">
        <f t="shared" si="21"/>
        <v>0</v>
      </c>
      <c r="AW43" s="1">
        <f t="shared" si="22"/>
        <v>0</v>
      </c>
      <c r="AX43" s="1">
        <f t="shared" si="23"/>
        <v>90.5</v>
      </c>
      <c r="AY43" s="23">
        <f t="shared" si="24"/>
        <v>0.5</v>
      </c>
      <c r="AZ43" s="23">
        <f t="shared" si="25"/>
        <v>0.64146039603960392</v>
      </c>
      <c r="BA43" s="23">
        <f t="shared" si="26"/>
        <v>4.4902227722772272</v>
      </c>
      <c r="BB43" s="23">
        <f t="shared" si="27"/>
        <v>11.225556930693068</v>
      </c>
      <c r="BC43" s="23">
        <f t="shared" si="28"/>
        <v>0</v>
      </c>
      <c r="BD43" s="23">
        <f t="shared" si="29"/>
        <v>11.225556930693068</v>
      </c>
    </row>
    <row r="44" spans="1:56">
      <c r="A44" s="1" t="s">
        <v>20</v>
      </c>
      <c r="B44" s="1" t="s">
        <v>32</v>
      </c>
      <c r="C44" s="1" t="s">
        <v>22</v>
      </c>
      <c r="D44" s="1" t="s">
        <v>33</v>
      </c>
      <c r="E44" s="51" t="s">
        <v>107</v>
      </c>
      <c r="F44" s="51" t="s">
        <v>265</v>
      </c>
      <c r="G44" s="51" t="s">
        <v>109</v>
      </c>
      <c r="H44" s="51" t="s">
        <v>269</v>
      </c>
      <c r="I44" s="1" t="s">
        <v>125</v>
      </c>
      <c r="J44" s="51" t="s">
        <v>112</v>
      </c>
      <c r="K44" s="51" t="s">
        <v>112</v>
      </c>
      <c r="L44" s="51" t="s">
        <v>112</v>
      </c>
      <c r="M44" s="1">
        <v>1600223</v>
      </c>
      <c r="N44" s="50" t="s">
        <v>329</v>
      </c>
      <c r="O44" s="55">
        <f t="shared" si="34"/>
        <v>40994</v>
      </c>
      <c r="P44" s="55">
        <f>DATE(2016,6,30)</f>
        <v>42551</v>
      </c>
      <c r="Q44" s="51">
        <v>3900</v>
      </c>
      <c r="S44" s="51">
        <v>2.5</v>
      </c>
      <c r="U44" s="1">
        <f t="shared" si="0"/>
        <v>1558</v>
      </c>
      <c r="V44" s="31">
        <f t="shared" si="1"/>
        <v>2.503209242618742</v>
      </c>
      <c r="W44" s="31">
        <f t="shared" si="2"/>
        <v>913.67137355584089</v>
      </c>
      <c r="X44" s="31">
        <f t="shared" si="3"/>
        <v>1.1420892169448011</v>
      </c>
      <c r="AA44" s="32">
        <f t="shared" si="4"/>
        <v>42552</v>
      </c>
      <c r="AB44" s="32">
        <f t="shared" si="5"/>
        <v>42735</v>
      </c>
      <c r="AC44" s="50">
        <v>7</v>
      </c>
      <c r="AD44" s="1">
        <f t="shared" si="6"/>
        <v>0</v>
      </c>
      <c r="AE44" s="1">
        <f t="shared" si="7"/>
        <v>0</v>
      </c>
      <c r="AF44" s="1">
        <f t="shared" si="8"/>
        <v>0</v>
      </c>
      <c r="AG44" s="1">
        <f t="shared" si="9"/>
        <v>0</v>
      </c>
      <c r="AH44" s="1">
        <f t="shared" si="10"/>
        <v>92</v>
      </c>
      <c r="AI44" s="23">
        <f t="shared" si="11"/>
        <v>0.5</v>
      </c>
      <c r="AJ44" s="23">
        <f t="shared" si="12"/>
        <v>0.57104460847240057</v>
      </c>
      <c r="AK44" s="23">
        <f t="shared" si="13"/>
        <v>1.998656129653402</v>
      </c>
      <c r="AL44" s="23">
        <f t="shared" si="14"/>
        <v>4.9966403241335051</v>
      </c>
      <c r="AM44" s="23">
        <f t="shared" si="15"/>
        <v>0</v>
      </c>
      <c r="AN44" s="23">
        <f t="shared" si="16"/>
        <v>4.9966403241335051</v>
      </c>
      <c r="AQ44" s="32">
        <f t="shared" si="17"/>
        <v>42736</v>
      </c>
      <c r="AR44" s="32">
        <f t="shared" si="18"/>
        <v>42916</v>
      </c>
      <c r="AS44" s="50">
        <v>7</v>
      </c>
      <c r="AT44" s="1">
        <f t="shared" si="19"/>
        <v>0</v>
      </c>
      <c r="AU44" s="1">
        <f t="shared" si="20"/>
        <v>0</v>
      </c>
      <c r="AV44" s="1">
        <f t="shared" si="21"/>
        <v>0</v>
      </c>
      <c r="AW44" s="1">
        <f t="shared" si="22"/>
        <v>0</v>
      </c>
      <c r="AX44" s="1">
        <f t="shared" si="23"/>
        <v>90.5</v>
      </c>
      <c r="AY44" s="23">
        <f t="shared" si="24"/>
        <v>0.5</v>
      </c>
      <c r="AZ44" s="23">
        <f t="shared" si="25"/>
        <v>0.57104460847240057</v>
      </c>
      <c r="BA44" s="23">
        <f t="shared" si="26"/>
        <v>1.998656129653402</v>
      </c>
      <c r="BB44" s="23">
        <f t="shared" si="27"/>
        <v>4.9966403241335051</v>
      </c>
      <c r="BC44" s="23">
        <f t="shared" si="28"/>
        <v>0</v>
      </c>
      <c r="BD44" s="23">
        <f t="shared" si="29"/>
        <v>4.9966403241335051</v>
      </c>
    </row>
    <row r="45" spans="1:56">
      <c r="A45" s="1" t="s">
        <v>20</v>
      </c>
      <c r="B45" s="1" t="s">
        <v>32</v>
      </c>
      <c r="C45" s="1" t="s">
        <v>22</v>
      </c>
      <c r="D45" s="1" t="s">
        <v>33</v>
      </c>
      <c r="E45" s="51" t="s">
        <v>107</v>
      </c>
      <c r="F45" s="51" t="s">
        <v>265</v>
      </c>
      <c r="G45" s="51" t="s">
        <v>109</v>
      </c>
      <c r="H45" s="51" t="s">
        <v>266</v>
      </c>
      <c r="I45" s="1" t="s">
        <v>111</v>
      </c>
      <c r="J45" s="51" t="s">
        <v>112</v>
      </c>
      <c r="K45" s="51" t="s">
        <v>112</v>
      </c>
      <c r="L45" s="51" t="s">
        <v>112</v>
      </c>
      <c r="M45" s="1">
        <v>1600224</v>
      </c>
      <c r="N45" s="50" t="s">
        <v>330</v>
      </c>
      <c r="O45" s="55">
        <f t="shared" si="34"/>
        <v>40994</v>
      </c>
      <c r="P45" s="55">
        <f>DATE(2016,12,30)</f>
        <v>42734</v>
      </c>
      <c r="Q45" s="51">
        <v>3600</v>
      </c>
      <c r="S45" s="51">
        <v>2.5</v>
      </c>
      <c r="U45" s="1">
        <f t="shared" si="0"/>
        <v>1741</v>
      </c>
      <c r="V45" s="31">
        <f t="shared" si="1"/>
        <v>2.0677771395749569</v>
      </c>
      <c r="W45" s="31">
        <f t="shared" si="2"/>
        <v>754.73865594485926</v>
      </c>
      <c r="X45" s="31">
        <f t="shared" si="3"/>
        <v>0.94342331993107409</v>
      </c>
      <c r="AA45" s="32">
        <f t="shared" si="4"/>
        <v>42552</v>
      </c>
      <c r="AB45" s="32">
        <f t="shared" si="5"/>
        <v>42735</v>
      </c>
      <c r="AC45" s="50">
        <v>10</v>
      </c>
      <c r="AD45" s="1">
        <f t="shared" si="6"/>
        <v>0</v>
      </c>
      <c r="AE45" s="1">
        <f t="shared" si="7"/>
        <v>0</v>
      </c>
      <c r="AF45" s="1">
        <f t="shared" si="8"/>
        <v>183</v>
      </c>
      <c r="AG45" s="1">
        <f t="shared" si="9"/>
        <v>0</v>
      </c>
      <c r="AH45" s="1">
        <f t="shared" si="10"/>
        <v>0</v>
      </c>
      <c r="AI45" s="23">
        <f t="shared" si="11"/>
        <v>0.99456521739130432</v>
      </c>
      <c r="AJ45" s="23">
        <f t="shared" si="12"/>
        <v>0.93829601927927475</v>
      </c>
      <c r="AK45" s="23">
        <f t="shared" si="13"/>
        <v>9.3829601927927477</v>
      </c>
      <c r="AL45" s="23">
        <f t="shared" si="14"/>
        <v>23.457400481981871</v>
      </c>
      <c r="AM45" s="23">
        <f t="shared" si="15"/>
        <v>0</v>
      </c>
      <c r="AN45" s="23">
        <f t="shared" si="16"/>
        <v>23.457400481981871</v>
      </c>
      <c r="AQ45" s="32">
        <f t="shared" si="17"/>
        <v>42736</v>
      </c>
      <c r="AR45" s="32">
        <f t="shared" si="18"/>
        <v>42916</v>
      </c>
      <c r="AS45" s="50">
        <v>10</v>
      </c>
      <c r="AT45" s="1">
        <f t="shared" si="19"/>
        <v>0</v>
      </c>
      <c r="AU45" s="1">
        <f t="shared" si="20"/>
        <v>0</v>
      </c>
      <c r="AV45" s="1">
        <f t="shared" si="21"/>
        <v>0</v>
      </c>
      <c r="AW45" s="1">
        <f t="shared" si="22"/>
        <v>0</v>
      </c>
      <c r="AX45" s="1">
        <f t="shared" si="23"/>
        <v>90.5</v>
      </c>
      <c r="AY45" s="23">
        <f t="shared" si="24"/>
        <v>0.5</v>
      </c>
      <c r="AZ45" s="23">
        <f t="shared" si="25"/>
        <v>0.47171165996553704</v>
      </c>
      <c r="BA45" s="23">
        <f t="shared" si="26"/>
        <v>2.3585582998276853</v>
      </c>
      <c r="BB45" s="23">
        <f t="shared" si="27"/>
        <v>5.896395749569213</v>
      </c>
      <c r="BC45" s="23">
        <f t="shared" si="28"/>
        <v>0</v>
      </c>
      <c r="BD45" s="23">
        <f t="shared" si="29"/>
        <v>5.896395749569213</v>
      </c>
    </row>
    <row r="46" spans="1:56">
      <c r="A46" s="1" t="s">
        <v>20</v>
      </c>
      <c r="B46" s="1" t="s">
        <v>32</v>
      </c>
      <c r="C46" s="1" t="s">
        <v>22</v>
      </c>
      <c r="D46" s="1" t="s">
        <v>33</v>
      </c>
      <c r="E46" s="51" t="s">
        <v>107</v>
      </c>
      <c r="F46" s="51" t="s">
        <v>294</v>
      </c>
      <c r="G46" s="51" t="s">
        <v>109</v>
      </c>
      <c r="H46" s="51" t="s">
        <v>301</v>
      </c>
      <c r="I46" s="1" t="s">
        <v>111</v>
      </c>
      <c r="J46" s="51" t="s">
        <v>112</v>
      </c>
      <c r="K46" s="51" t="s">
        <v>112</v>
      </c>
      <c r="L46" s="51" t="s">
        <v>112</v>
      </c>
      <c r="M46" s="1">
        <v>1600225</v>
      </c>
      <c r="N46" s="50" t="s">
        <v>331</v>
      </c>
      <c r="O46" s="55">
        <f t="shared" si="34"/>
        <v>40994</v>
      </c>
      <c r="P46" s="55">
        <f>DATE(2014,12,30)</f>
        <v>42003</v>
      </c>
      <c r="Q46" s="51">
        <v>2840</v>
      </c>
      <c r="S46" s="51">
        <v>2</v>
      </c>
      <c r="U46" s="1">
        <f t="shared" si="0"/>
        <v>1010</v>
      </c>
      <c r="V46" s="31">
        <f t="shared" si="1"/>
        <v>2.8118811881188117</v>
      </c>
      <c r="W46" s="31">
        <f t="shared" si="2"/>
        <v>1026.3366336633662</v>
      </c>
      <c r="X46" s="31">
        <f t="shared" si="3"/>
        <v>1.2829207920792078</v>
      </c>
      <c r="AA46" s="32">
        <f t="shared" si="4"/>
        <v>42552</v>
      </c>
      <c r="AB46" s="32">
        <f t="shared" si="5"/>
        <v>42735</v>
      </c>
      <c r="AC46" s="50">
        <v>10</v>
      </c>
      <c r="AD46" s="1">
        <f t="shared" si="6"/>
        <v>0</v>
      </c>
      <c r="AE46" s="1">
        <f t="shared" si="7"/>
        <v>0</v>
      </c>
      <c r="AF46" s="1">
        <f t="shared" si="8"/>
        <v>0</v>
      </c>
      <c r="AG46" s="1">
        <f t="shared" si="9"/>
        <v>0</v>
      </c>
      <c r="AH46" s="1">
        <f t="shared" si="10"/>
        <v>92</v>
      </c>
      <c r="AI46" s="23">
        <f t="shared" si="11"/>
        <v>0.5</v>
      </c>
      <c r="AJ46" s="23">
        <f t="shared" si="12"/>
        <v>0.64146039603960392</v>
      </c>
      <c r="AK46" s="23">
        <f t="shared" si="13"/>
        <v>3.2073019801980198</v>
      </c>
      <c r="AL46" s="23">
        <f t="shared" si="14"/>
        <v>6.4146039603960396</v>
      </c>
      <c r="AM46" s="23">
        <f t="shared" si="15"/>
        <v>0</v>
      </c>
      <c r="AN46" s="23">
        <f t="shared" si="16"/>
        <v>6.4146039603960396</v>
      </c>
      <c r="AQ46" s="32">
        <f t="shared" si="17"/>
        <v>42736</v>
      </c>
      <c r="AR46" s="32">
        <f t="shared" si="18"/>
        <v>42916</v>
      </c>
      <c r="AS46" s="50">
        <v>8</v>
      </c>
      <c r="AT46" s="1">
        <f t="shared" si="19"/>
        <v>0</v>
      </c>
      <c r="AU46" s="1">
        <f t="shared" si="20"/>
        <v>0</v>
      </c>
      <c r="AV46" s="1">
        <f t="shared" si="21"/>
        <v>0</v>
      </c>
      <c r="AW46" s="1">
        <f t="shared" si="22"/>
        <v>0</v>
      </c>
      <c r="AX46" s="1">
        <f t="shared" si="23"/>
        <v>90.5</v>
      </c>
      <c r="AY46" s="23">
        <f t="shared" si="24"/>
        <v>0.5</v>
      </c>
      <c r="AZ46" s="23">
        <f t="shared" si="25"/>
        <v>0.64146039603960392</v>
      </c>
      <c r="BA46" s="23">
        <f t="shared" si="26"/>
        <v>2.5658415841584157</v>
      </c>
      <c r="BB46" s="23">
        <f t="shared" si="27"/>
        <v>5.1316831683168314</v>
      </c>
      <c r="BC46" s="23">
        <f t="shared" si="28"/>
        <v>0</v>
      </c>
      <c r="BD46" s="23">
        <f t="shared" si="29"/>
        <v>5.1316831683168314</v>
      </c>
    </row>
    <row r="47" spans="1:56">
      <c r="A47" s="1" t="s">
        <v>20</v>
      </c>
      <c r="B47" s="1" t="s">
        <v>32</v>
      </c>
      <c r="C47" s="1" t="s">
        <v>22</v>
      </c>
      <c r="D47" s="1" t="s">
        <v>33</v>
      </c>
      <c r="E47" s="51" t="s">
        <v>107</v>
      </c>
      <c r="F47" s="51" t="s">
        <v>294</v>
      </c>
      <c r="G47" s="51" t="s">
        <v>109</v>
      </c>
      <c r="H47" s="51" t="s">
        <v>301</v>
      </c>
      <c r="I47" s="1" t="s">
        <v>111</v>
      </c>
      <c r="J47" s="51" t="s">
        <v>112</v>
      </c>
      <c r="K47" s="51" t="s">
        <v>112</v>
      </c>
      <c r="L47" s="51" t="s">
        <v>112</v>
      </c>
      <c r="M47" s="1">
        <v>1600226</v>
      </c>
      <c r="N47" s="50" t="s">
        <v>332</v>
      </c>
      <c r="O47" s="55">
        <f>DATE(2012,11,1)</f>
        <v>41214</v>
      </c>
      <c r="P47" s="55">
        <f>DATE(2015,6,30)</f>
        <v>42185</v>
      </c>
      <c r="Q47" s="51">
        <v>2840</v>
      </c>
      <c r="S47" s="51">
        <v>2</v>
      </c>
      <c r="U47" s="1">
        <f t="shared" si="0"/>
        <v>972</v>
      </c>
      <c r="V47" s="31">
        <f t="shared" si="1"/>
        <v>2.9218106995884772</v>
      </c>
      <c r="W47" s="31">
        <f t="shared" si="2"/>
        <v>1066.4609053497941</v>
      </c>
      <c r="X47" s="31">
        <f t="shared" si="3"/>
        <v>1.3330761316872426</v>
      </c>
      <c r="AA47" s="32">
        <f t="shared" si="4"/>
        <v>42552</v>
      </c>
      <c r="AB47" s="32">
        <f t="shared" si="5"/>
        <v>42735</v>
      </c>
      <c r="AC47" s="50">
        <v>9</v>
      </c>
      <c r="AD47" s="1">
        <f t="shared" si="6"/>
        <v>0</v>
      </c>
      <c r="AE47" s="1">
        <f t="shared" si="7"/>
        <v>0</v>
      </c>
      <c r="AF47" s="1">
        <f t="shared" si="8"/>
        <v>0</v>
      </c>
      <c r="AG47" s="1">
        <f t="shared" si="9"/>
        <v>0</v>
      </c>
      <c r="AH47" s="1">
        <f t="shared" si="10"/>
        <v>92</v>
      </c>
      <c r="AI47" s="23">
        <f t="shared" si="11"/>
        <v>0.5</v>
      </c>
      <c r="AJ47" s="23">
        <f t="shared" si="12"/>
        <v>0.6665380658436213</v>
      </c>
      <c r="AK47" s="23">
        <f t="shared" si="13"/>
        <v>2.9994212962962958</v>
      </c>
      <c r="AL47" s="23">
        <f t="shared" si="14"/>
        <v>5.9988425925925917</v>
      </c>
      <c r="AM47" s="23">
        <f t="shared" si="15"/>
        <v>0</v>
      </c>
      <c r="AN47" s="23">
        <f t="shared" si="16"/>
        <v>5.9988425925925917</v>
      </c>
      <c r="AQ47" s="32">
        <f t="shared" si="17"/>
        <v>42736</v>
      </c>
      <c r="AR47" s="32">
        <f t="shared" si="18"/>
        <v>42916</v>
      </c>
      <c r="AS47" s="50">
        <v>5</v>
      </c>
      <c r="AT47" s="1">
        <f t="shared" si="19"/>
        <v>0</v>
      </c>
      <c r="AU47" s="1">
        <f t="shared" si="20"/>
        <v>0</v>
      </c>
      <c r="AV47" s="1">
        <f t="shared" si="21"/>
        <v>0</v>
      </c>
      <c r="AW47" s="1">
        <f t="shared" si="22"/>
        <v>0</v>
      </c>
      <c r="AX47" s="1">
        <f t="shared" si="23"/>
        <v>90.5</v>
      </c>
      <c r="AY47" s="23">
        <f t="shared" si="24"/>
        <v>0.5</v>
      </c>
      <c r="AZ47" s="23">
        <f t="shared" si="25"/>
        <v>0.6665380658436213</v>
      </c>
      <c r="BA47" s="23">
        <f t="shared" si="26"/>
        <v>1.6663451646090532</v>
      </c>
      <c r="BB47" s="23">
        <f t="shared" si="27"/>
        <v>3.3326903292181065</v>
      </c>
      <c r="BC47" s="23">
        <f t="shared" si="28"/>
        <v>0</v>
      </c>
      <c r="BD47" s="23">
        <f t="shared" si="29"/>
        <v>3.3326903292181065</v>
      </c>
    </row>
    <row r="48" spans="1:56">
      <c r="A48" s="1" t="s">
        <v>20</v>
      </c>
      <c r="B48" s="1" t="s">
        <v>32</v>
      </c>
      <c r="C48" s="1" t="s">
        <v>22</v>
      </c>
      <c r="D48" s="1" t="s">
        <v>33</v>
      </c>
      <c r="E48" s="51" t="s">
        <v>107</v>
      </c>
      <c r="F48" s="51" t="s">
        <v>294</v>
      </c>
      <c r="G48" s="51" t="s">
        <v>109</v>
      </c>
      <c r="H48" s="51" t="s">
        <v>303</v>
      </c>
      <c r="I48" s="1" t="s">
        <v>128</v>
      </c>
      <c r="J48" s="51" t="s">
        <v>112</v>
      </c>
      <c r="K48" s="51" t="s">
        <v>112</v>
      </c>
      <c r="L48" s="51" t="s">
        <v>112</v>
      </c>
      <c r="M48" s="1">
        <v>1600227</v>
      </c>
      <c r="N48" s="50" t="s">
        <v>333</v>
      </c>
      <c r="O48" s="55">
        <f t="shared" ref="O48:O72" si="36">DATE(2012,3,26)</f>
        <v>40994</v>
      </c>
      <c r="P48" s="55">
        <f>DATE(2014,12,30)</f>
        <v>42003</v>
      </c>
      <c r="Q48" s="51">
        <v>2520</v>
      </c>
      <c r="S48" s="51">
        <v>2.5</v>
      </c>
      <c r="U48" s="1">
        <f t="shared" si="0"/>
        <v>1010</v>
      </c>
      <c r="V48" s="31">
        <f t="shared" si="1"/>
        <v>2.495049504950495</v>
      </c>
      <c r="W48" s="31">
        <f t="shared" si="2"/>
        <v>910.69306930693074</v>
      </c>
      <c r="X48" s="31">
        <f t="shared" si="3"/>
        <v>1.1383663366336634</v>
      </c>
      <c r="AA48" s="32">
        <f t="shared" si="4"/>
        <v>42552</v>
      </c>
      <c r="AB48" s="32">
        <f t="shared" si="5"/>
        <v>42735</v>
      </c>
      <c r="AC48" s="50">
        <v>2</v>
      </c>
      <c r="AD48" s="1">
        <f t="shared" si="6"/>
        <v>0</v>
      </c>
      <c r="AE48" s="1">
        <f t="shared" si="7"/>
        <v>0</v>
      </c>
      <c r="AF48" s="1">
        <f t="shared" si="8"/>
        <v>0</v>
      </c>
      <c r="AG48" s="1">
        <f t="shared" si="9"/>
        <v>0</v>
      </c>
      <c r="AH48" s="1">
        <f t="shared" si="10"/>
        <v>92</v>
      </c>
      <c r="AI48" s="23">
        <f t="shared" si="11"/>
        <v>0.5</v>
      </c>
      <c r="AJ48" s="23">
        <f t="shared" si="12"/>
        <v>0.56918316831683169</v>
      </c>
      <c r="AK48" s="23">
        <f t="shared" si="13"/>
        <v>0.56918316831683169</v>
      </c>
      <c r="AL48" s="23">
        <f t="shared" si="14"/>
        <v>1.4229579207920793</v>
      </c>
      <c r="AM48" s="23">
        <f t="shared" si="15"/>
        <v>0</v>
      </c>
      <c r="AN48" s="23">
        <f t="shared" si="16"/>
        <v>1.4229579207920793</v>
      </c>
      <c r="AQ48" s="32">
        <f t="shared" si="17"/>
        <v>42736</v>
      </c>
      <c r="AR48" s="32">
        <f t="shared" si="18"/>
        <v>42916</v>
      </c>
      <c r="AS48" s="50">
        <v>1</v>
      </c>
      <c r="AT48" s="1">
        <f t="shared" si="19"/>
        <v>0</v>
      </c>
      <c r="AU48" s="1">
        <f t="shared" si="20"/>
        <v>0</v>
      </c>
      <c r="AV48" s="1">
        <f t="shared" si="21"/>
        <v>0</v>
      </c>
      <c r="AW48" s="1">
        <f t="shared" si="22"/>
        <v>0</v>
      </c>
      <c r="AX48" s="1">
        <f t="shared" si="23"/>
        <v>90.5</v>
      </c>
      <c r="AY48" s="23">
        <f t="shared" si="24"/>
        <v>0.5</v>
      </c>
      <c r="AZ48" s="23">
        <f t="shared" si="25"/>
        <v>0.56918316831683169</v>
      </c>
      <c r="BA48" s="23">
        <f t="shared" si="26"/>
        <v>0.28459158415841584</v>
      </c>
      <c r="BB48" s="23">
        <f t="shared" si="27"/>
        <v>0.71147896039603964</v>
      </c>
      <c r="BC48" s="23">
        <f t="shared" si="28"/>
        <v>0</v>
      </c>
      <c r="BD48" s="23">
        <f t="shared" si="29"/>
        <v>0.71147896039603964</v>
      </c>
    </row>
    <row r="49" spans="1:56">
      <c r="A49" s="1" t="s">
        <v>20</v>
      </c>
      <c r="B49" s="1" t="s">
        <v>32</v>
      </c>
      <c r="C49" s="1" t="s">
        <v>22</v>
      </c>
      <c r="D49" s="1" t="s">
        <v>33</v>
      </c>
      <c r="E49" s="51" t="s">
        <v>107</v>
      </c>
      <c r="F49" s="51" t="s">
        <v>108</v>
      </c>
      <c r="G49" s="51" t="s">
        <v>109</v>
      </c>
      <c r="H49" s="51" t="s">
        <v>285</v>
      </c>
      <c r="I49" s="1" t="s">
        <v>125</v>
      </c>
      <c r="J49" s="51" t="s">
        <v>112</v>
      </c>
      <c r="K49" s="51" t="s">
        <v>112</v>
      </c>
      <c r="L49" s="51" t="s">
        <v>112</v>
      </c>
      <c r="M49" s="1">
        <v>1600229</v>
      </c>
      <c r="N49" s="50" t="s">
        <v>334</v>
      </c>
      <c r="O49" s="55">
        <f t="shared" si="36"/>
        <v>40994</v>
      </c>
      <c r="P49" s="55">
        <f t="shared" ref="P49:P59" si="37">DATE(2015,6,30)</f>
        <v>42185</v>
      </c>
      <c r="Q49" s="51">
        <v>3115</v>
      </c>
      <c r="S49" s="51">
        <v>2.5</v>
      </c>
      <c r="U49" s="1">
        <f t="shared" si="0"/>
        <v>1192</v>
      </c>
      <c r="V49" s="31">
        <f t="shared" si="1"/>
        <v>2.613255033557047</v>
      </c>
      <c r="W49" s="31">
        <f t="shared" si="2"/>
        <v>953.83808724832215</v>
      </c>
      <c r="X49" s="31">
        <f t="shared" si="3"/>
        <v>1.1922976090604027</v>
      </c>
      <c r="AA49" s="32">
        <f t="shared" si="4"/>
        <v>42552</v>
      </c>
      <c r="AB49" s="32">
        <f t="shared" si="5"/>
        <v>42735</v>
      </c>
      <c r="AC49" s="50">
        <v>9</v>
      </c>
      <c r="AD49" s="1">
        <f t="shared" si="6"/>
        <v>0</v>
      </c>
      <c r="AE49" s="1">
        <f t="shared" si="7"/>
        <v>0</v>
      </c>
      <c r="AF49" s="1">
        <f t="shared" si="8"/>
        <v>0</v>
      </c>
      <c r="AG49" s="1">
        <f t="shared" si="9"/>
        <v>0</v>
      </c>
      <c r="AH49" s="1">
        <f t="shared" si="10"/>
        <v>92</v>
      </c>
      <c r="AI49" s="23">
        <f t="shared" si="11"/>
        <v>0.5</v>
      </c>
      <c r="AJ49" s="23">
        <f t="shared" si="12"/>
        <v>0.59614880453020136</v>
      </c>
      <c r="AK49" s="23">
        <f t="shared" si="13"/>
        <v>2.682669620385906</v>
      </c>
      <c r="AL49" s="23">
        <f t="shared" si="14"/>
        <v>6.7066740509647644</v>
      </c>
      <c r="AM49" s="23">
        <f t="shared" si="15"/>
        <v>0</v>
      </c>
      <c r="AN49" s="23">
        <f t="shared" si="16"/>
        <v>6.7066740509647644</v>
      </c>
      <c r="AQ49" s="32">
        <f t="shared" si="17"/>
        <v>42736</v>
      </c>
      <c r="AR49" s="32">
        <f t="shared" si="18"/>
        <v>42916</v>
      </c>
      <c r="AS49" s="50">
        <v>6</v>
      </c>
      <c r="AT49" s="1">
        <f t="shared" si="19"/>
        <v>0</v>
      </c>
      <c r="AU49" s="1">
        <f t="shared" si="20"/>
        <v>0</v>
      </c>
      <c r="AV49" s="1">
        <f t="shared" si="21"/>
        <v>0</v>
      </c>
      <c r="AW49" s="1">
        <f t="shared" si="22"/>
        <v>0</v>
      </c>
      <c r="AX49" s="1">
        <f t="shared" si="23"/>
        <v>90.5</v>
      </c>
      <c r="AY49" s="23">
        <f t="shared" si="24"/>
        <v>0.5</v>
      </c>
      <c r="AZ49" s="23">
        <f t="shared" si="25"/>
        <v>0.59614880453020136</v>
      </c>
      <c r="BA49" s="23">
        <f t="shared" si="26"/>
        <v>1.788446413590604</v>
      </c>
      <c r="BB49" s="23">
        <f t="shared" si="27"/>
        <v>4.4711160339765099</v>
      </c>
      <c r="BC49" s="23">
        <f t="shared" si="28"/>
        <v>0</v>
      </c>
      <c r="BD49" s="23">
        <f t="shared" si="29"/>
        <v>4.4711160339765099</v>
      </c>
    </row>
    <row r="50" spans="1:56">
      <c r="A50" s="1" t="s">
        <v>20</v>
      </c>
      <c r="B50" s="1" t="s">
        <v>32</v>
      </c>
      <c r="C50" s="1" t="s">
        <v>22</v>
      </c>
      <c r="D50" s="1" t="s">
        <v>33</v>
      </c>
      <c r="E50" s="51" t="s">
        <v>107</v>
      </c>
      <c r="F50" s="51" t="s">
        <v>108</v>
      </c>
      <c r="G50" s="51" t="s">
        <v>109</v>
      </c>
      <c r="H50" s="51" t="s">
        <v>127</v>
      </c>
      <c r="I50" s="1" t="s">
        <v>128</v>
      </c>
      <c r="J50" s="51" t="s">
        <v>112</v>
      </c>
      <c r="K50" s="51" t="s">
        <v>112</v>
      </c>
      <c r="L50" s="51" t="s">
        <v>112</v>
      </c>
      <c r="M50" s="1">
        <v>1600230</v>
      </c>
      <c r="N50" s="50" t="s">
        <v>335</v>
      </c>
      <c r="O50" s="55">
        <f t="shared" si="36"/>
        <v>40994</v>
      </c>
      <c r="P50" s="55">
        <f t="shared" si="37"/>
        <v>42185</v>
      </c>
      <c r="Q50" s="51">
        <v>3359</v>
      </c>
      <c r="S50" s="51">
        <v>2.5</v>
      </c>
      <c r="U50" s="1">
        <f t="shared" si="0"/>
        <v>1192</v>
      </c>
      <c r="V50" s="31">
        <f t="shared" si="1"/>
        <v>2.8179530201342282</v>
      </c>
      <c r="W50" s="31">
        <f t="shared" si="2"/>
        <v>1028.5528523489934</v>
      </c>
      <c r="X50" s="31">
        <f t="shared" si="3"/>
        <v>1.2856910654362417</v>
      </c>
      <c r="AA50" s="32">
        <f t="shared" si="4"/>
        <v>42552</v>
      </c>
      <c r="AB50" s="32">
        <f t="shared" si="5"/>
        <v>42735</v>
      </c>
      <c r="AC50" s="50">
        <v>7</v>
      </c>
      <c r="AD50" s="1">
        <f t="shared" si="6"/>
        <v>0</v>
      </c>
      <c r="AE50" s="1">
        <f t="shared" si="7"/>
        <v>0</v>
      </c>
      <c r="AF50" s="1">
        <f t="shared" si="8"/>
        <v>0</v>
      </c>
      <c r="AG50" s="1">
        <f t="shared" si="9"/>
        <v>0</v>
      </c>
      <c r="AH50" s="1">
        <f t="shared" si="10"/>
        <v>92</v>
      </c>
      <c r="AI50" s="23">
        <f t="shared" si="11"/>
        <v>0.5</v>
      </c>
      <c r="AJ50" s="23">
        <f t="shared" si="12"/>
        <v>0.64284553271812084</v>
      </c>
      <c r="AK50" s="23">
        <f t="shared" si="13"/>
        <v>2.249959364513423</v>
      </c>
      <c r="AL50" s="23">
        <f t="shared" si="14"/>
        <v>5.6248984112835574</v>
      </c>
      <c r="AM50" s="23">
        <f t="shared" si="15"/>
        <v>0</v>
      </c>
      <c r="AN50" s="23">
        <f t="shared" si="16"/>
        <v>5.6248984112835574</v>
      </c>
      <c r="AQ50" s="32">
        <f t="shared" si="17"/>
        <v>42736</v>
      </c>
      <c r="AR50" s="32">
        <f t="shared" si="18"/>
        <v>42916</v>
      </c>
      <c r="AS50" s="50">
        <v>6</v>
      </c>
      <c r="AT50" s="1">
        <f t="shared" si="19"/>
        <v>0</v>
      </c>
      <c r="AU50" s="1">
        <f t="shared" si="20"/>
        <v>0</v>
      </c>
      <c r="AV50" s="1">
        <f t="shared" si="21"/>
        <v>0</v>
      </c>
      <c r="AW50" s="1">
        <f t="shared" si="22"/>
        <v>0</v>
      </c>
      <c r="AX50" s="1">
        <f t="shared" si="23"/>
        <v>90.5</v>
      </c>
      <c r="AY50" s="23">
        <f t="shared" si="24"/>
        <v>0.5</v>
      </c>
      <c r="AZ50" s="23">
        <f t="shared" si="25"/>
        <v>0.64284553271812084</v>
      </c>
      <c r="BA50" s="23">
        <f t="shared" si="26"/>
        <v>1.9285365981543625</v>
      </c>
      <c r="BB50" s="23">
        <f t="shared" si="27"/>
        <v>4.821341495385906</v>
      </c>
      <c r="BC50" s="23">
        <f t="shared" si="28"/>
        <v>0</v>
      </c>
      <c r="BD50" s="23">
        <f t="shared" si="29"/>
        <v>4.821341495385906</v>
      </c>
    </row>
    <row r="51" spans="1:56">
      <c r="A51" s="1" t="s">
        <v>20</v>
      </c>
      <c r="B51" s="1" t="s">
        <v>32</v>
      </c>
      <c r="C51" s="1" t="s">
        <v>22</v>
      </c>
      <c r="D51" s="1" t="s">
        <v>33</v>
      </c>
      <c r="E51" s="51" t="s">
        <v>107</v>
      </c>
      <c r="F51" s="51" t="s">
        <v>108</v>
      </c>
      <c r="G51" s="51" t="s">
        <v>109</v>
      </c>
      <c r="H51" s="51" t="s">
        <v>110</v>
      </c>
      <c r="I51" s="1" t="s">
        <v>111</v>
      </c>
      <c r="J51" s="51" t="s">
        <v>112</v>
      </c>
      <c r="K51" s="51" t="s">
        <v>112</v>
      </c>
      <c r="L51" s="51" t="s">
        <v>112</v>
      </c>
      <c r="M51" s="1">
        <v>1600231</v>
      </c>
      <c r="N51" s="50" t="s">
        <v>336</v>
      </c>
      <c r="O51" s="55">
        <f t="shared" si="36"/>
        <v>40994</v>
      </c>
      <c r="P51" s="55">
        <f t="shared" si="37"/>
        <v>42185</v>
      </c>
      <c r="Q51" s="51">
        <v>2968</v>
      </c>
      <c r="S51" s="51">
        <v>2</v>
      </c>
      <c r="U51" s="1">
        <f t="shared" si="0"/>
        <v>1192</v>
      </c>
      <c r="V51" s="31">
        <f t="shared" si="1"/>
        <v>2.4899328859060401</v>
      </c>
      <c r="W51" s="31">
        <f t="shared" si="2"/>
        <v>908.82550335570465</v>
      </c>
      <c r="X51" s="31">
        <f t="shared" si="3"/>
        <v>1.1360318791946309</v>
      </c>
      <c r="AA51" s="32">
        <f t="shared" si="4"/>
        <v>42552</v>
      </c>
      <c r="AB51" s="32">
        <f t="shared" si="5"/>
        <v>42735</v>
      </c>
      <c r="AC51" s="50">
        <v>4</v>
      </c>
      <c r="AD51" s="1">
        <f t="shared" si="6"/>
        <v>0</v>
      </c>
      <c r="AE51" s="1">
        <f t="shared" si="7"/>
        <v>0</v>
      </c>
      <c r="AF51" s="1">
        <f t="shared" si="8"/>
        <v>0</v>
      </c>
      <c r="AG51" s="1">
        <f t="shared" si="9"/>
        <v>0</v>
      </c>
      <c r="AH51" s="1">
        <f t="shared" si="10"/>
        <v>92</v>
      </c>
      <c r="AI51" s="23">
        <f t="shared" si="11"/>
        <v>0.5</v>
      </c>
      <c r="AJ51" s="23">
        <f t="shared" si="12"/>
        <v>0.56801593959731544</v>
      </c>
      <c r="AK51" s="23">
        <f t="shared" si="13"/>
        <v>1.1360318791946309</v>
      </c>
      <c r="AL51" s="23">
        <f t="shared" si="14"/>
        <v>2.2720637583892618</v>
      </c>
      <c r="AM51" s="23">
        <f t="shared" si="15"/>
        <v>0</v>
      </c>
      <c r="AN51" s="23">
        <f t="shared" si="16"/>
        <v>2.2720637583892618</v>
      </c>
      <c r="AQ51" s="32">
        <f t="shared" si="17"/>
        <v>42736</v>
      </c>
      <c r="AR51" s="32">
        <f t="shared" si="18"/>
        <v>42916</v>
      </c>
      <c r="AS51" s="50">
        <v>4</v>
      </c>
      <c r="AT51" s="1">
        <f t="shared" si="19"/>
        <v>0</v>
      </c>
      <c r="AU51" s="1">
        <f t="shared" si="20"/>
        <v>0</v>
      </c>
      <c r="AV51" s="1">
        <f t="shared" si="21"/>
        <v>0</v>
      </c>
      <c r="AW51" s="1">
        <f t="shared" si="22"/>
        <v>0</v>
      </c>
      <c r="AX51" s="1">
        <f t="shared" si="23"/>
        <v>90.5</v>
      </c>
      <c r="AY51" s="23">
        <f t="shared" si="24"/>
        <v>0.5</v>
      </c>
      <c r="AZ51" s="23">
        <f t="shared" si="25"/>
        <v>0.56801593959731544</v>
      </c>
      <c r="BA51" s="23">
        <f t="shared" si="26"/>
        <v>1.1360318791946309</v>
      </c>
      <c r="BB51" s="23">
        <f t="shared" si="27"/>
        <v>2.2720637583892618</v>
      </c>
      <c r="BC51" s="23">
        <f t="shared" si="28"/>
        <v>0</v>
      </c>
      <c r="BD51" s="23">
        <f t="shared" si="29"/>
        <v>2.2720637583892618</v>
      </c>
    </row>
    <row r="52" spans="1:56">
      <c r="A52" s="1" t="s">
        <v>20</v>
      </c>
      <c r="B52" s="1" t="s">
        <v>32</v>
      </c>
      <c r="C52" s="1" t="s">
        <v>22</v>
      </c>
      <c r="D52" s="1" t="s">
        <v>33</v>
      </c>
      <c r="E52" s="51" t="s">
        <v>107</v>
      </c>
      <c r="F52" s="51" t="s">
        <v>108</v>
      </c>
      <c r="G52" s="51" t="s">
        <v>109</v>
      </c>
      <c r="H52" s="51" t="s">
        <v>275</v>
      </c>
      <c r="I52" s="1" t="s">
        <v>128</v>
      </c>
      <c r="J52" s="51" t="s">
        <v>112</v>
      </c>
      <c r="K52" s="51" t="s">
        <v>112</v>
      </c>
      <c r="L52" s="51" t="s">
        <v>112</v>
      </c>
      <c r="M52" s="1">
        <v>1600232</v>
      </c>
      <c r="N52" s="50" t="s">
        <v>337</v>
      </c>
      <c r="O52" s="55">
        <f t="shared" si="36"/>
        <v>40994</v>
      </c>
      <c r="P52" s="55">
        <f t="shared" si="37"/>
        <v>42185</v>
      </c>
      <c r="Q52" s="51">
        <v>3270</v>
      </c>
      <c r="S52" s="51">
        <v>2.5</v>
      </c>
      <c r="U52" s="1">
        <f t="shared" si="0"/>
        <v>1192</v>
      </c>
      <c r="V52" s="31">
        <f t="shared" si="1"/>
        <v>2.7432885906040267</v>
      </c>
      <c r="W52" s="31">
        <f t="shared" si="2"/>
        <v>1001.3003355704698</v>
      </c>
      <c r="X52" s="31">
        <f t="shared" si="3"/>
        <v>1.2516254194630871</v>
      </c>
      <c r="AA52" s="32">
        <f t="shared" si="4"/>
        <v>42552</v>
      </c>
      <c r="AB52" s="32">
        <f t="shared" si="5"/>
        <v>42735</v>
      </c>
      <c r="AC52" s="50">
        <v>12</v>
      </c>
      <c r="AD52" s="1">
        <f t="shared" si="6"/>
        <v>0</v>
      </c>
      <c r="AE52" s="1">
        <f t="shared" si="7"/>
        <v>0</v>
      </c>
      <c r="AF52" s="1">
        <f t="shared" si="8"/>
        <v>0</v>
      </c>
      <c r="AG52" s="1">
        <f t="shared" si="9"/>
        <v>0</v>
      </c>
      <c r="AH52" s="1">
        <f t="shared" si="10"/>
        <v>92</v>
      </c>
      <c r="AI52" s="23">
        <f t="shared" si="11"/>
        <v>0.5</v>
      </c>
      <c r="AJ52" s="23">
        <f t="shared" si="12"/>
        <v>0.62581270973154357</v>
      </c>
      <c r="AK52" s="23">
        <f t="shared" si="13"/>
        <v>3.7548762583892614</v>
      </c>
      <c r="AL52" s="23">
        <f t="shared" si="14"/>
        <v>9.3871906459731527</v>
      </c>
      <c r="AM52" s="23">
        <f t="shared" si="15"/>
        <v>0</v>
      </c>
      <c r="AN52" s="23">
        <f t="shared" si="16"/>
        <v>9.3871906459731527</v>
      </c>
      <c r="AQ52" s="32">
        <f t="shared" si="17"/>
        <v>42736</v>
      </c>
      <c r="AR52" s="32">
        <f t="shared" si="18"/>
        <v>42916</v>
      </c>
      <c r="AS52" s="50">
        <v>7</v>
      </c>
      <c r="AT52" s="1">
        <f t="shared" si="19"/>
        <v>0</v>
      </c>
      <c r="AU52" s="1">
        <f t="shared" si="20"/>
        <v>0</v>
      </c>
      <c r="AV52" s="1">
        <f t="shared" si="21"/>
        <v>0</v>
      </c>
      <c r="AW52" s="1">
        <f t="shared" si="22"/>
        <v>0</v>
      </c>
      <c r="AX52" s="1">
        <f t="shared" si="23"/>
        <v>90.5</v>
      </c>
      <c r="AY52" s="23">
        <f t="shared" si="24"/>
        <v>0.5</v>
      </c>
      <c r="AZ52" s="23">
        <f t="shared" si="25"/>
        <v>0.62581270973154357</v>
      </c>
      <c r="BA52" s="23">
        <f t="shared" si="26"/>
        <v>2.1903444840604025</v>
      </c>
      <c r="BB52" s="23">
        <f t="shared" si="27"/>
        <v>5.475861210151006</v>
      </c>
      <c r="BC52" s="23">
        <f t="shared" si="28"/>
        <v>0</v>
      </c>
      <c r="BD52" s="23">
        <f t="shared" si="29"/>
        <v>5.475861210151006</v>
      </c>
    </row>
    <row r="53" spans="1:56">
      <c r="A53" s="1" t="s">
        <v>20</v>
      </c>
      <c r="B53" s="1" t="s">
        <v>32</v>
      </c>
      <c r="C53" s="1" t="s">
        <v>22</v>
      </c>
      <c r="D53" s="1" t="s">
        <v>33</v>
      </c>
      <c r="E53" s="51" t="s">
        <v>107</v>
      </c>
      <c r="F53" s="51" t="s">
        <v>108</v>
      </c>
      <c r="G53" s="51" t="s">
        <v>109</v>
      </c>
      <c r="H53" s="51" t="s">
        <v>124</v>
      </c>
      <c r="I53" s="1" t="s">
        <v>125</v>
      </c>
      <c r="J53" s="51" t="s">
        <v>112</v>
      </c>
      <c r="K53" s="51" t="s">
        <v>112</v>
      </c>
      <c r="L53" s="51" t="s">
        <v>112</v>
      </c>
      <c r="M53" s="1">
        <v>1600234</v>
      </c>
      <c r="N53" s="50" t="s">
        <v>338</v>
      </c>
      <c r="O53" s="55">
        <f t="shared" si="36"/>
        <v>40994</v>
      </c>
      <c r="P53" s="55">
        <f t="shared" si="37"/>
        <v>42185</v>
      </c>
      <c r="Q53" s="51">
        <v>3322</v>
      </c>
      <c r="S53" s="51">
        <v>2.5</v>
      </c>
      <c r="U53" s="1">
        <f t="shared" si="0"/>
        <v>1192</v>
      </c>
      <c r="V53" s="31">
        <f t="shared" si="1"/>
        <v>2.7869127516778525</v>
      </c>
      <c r="W53" s="31">
        <f t="shared" si="2"/>
        <v>1017.2231543624162</v>
      </c>
      <c r="X53" s="31">
        <f t="shared" si="3"/>
        <v>1.2715289429530201</v>
      </c>
      <c r="AA53" s="32">
        <f t="shared" si="4"/>
        <v>42552</v>
      </c>
      <c r="AB53" s="32">
        <f t="shared" si="5"/>
        <v>42735</v>
      </c>
      <c r="AC53" s="50">
        <v>5</v>
      </c>
      <c r="AD53" s="1">
        <f t="shared" si="6"/>
        <v>0</v>
      </c>
      <c r="AE53" s="1">
        <f t="shared" si="7"/>
        <v>0</v>
      </c>
      <c r="AF53" s="1">
        <f t="shared" si="8"/>
        <v>0</v>
      </c>
      <c r="AG53" s="1">
        <f t="shared" si="9"/>
        <v>0</v>
      </c>
      <c r="AH53" s="1">
        <f t="shared" si="10"/>
        <v>92</v>
      </c>
      <c r="AI53" s="23">
        <f t="shared" si="11"/>
        <v>0.5</v>
      </c>
      <c r="AJ53" s="23">
        <f t="shared" si="12"/>
        <v>0.63576447147651005</v>
      </c>
      <c r="AK53" s="23">
        <f t="shared" si="13"/>
        <v>1.5894111786912752</v>
      </c>
      <c r="AL53" s="23">
        <f t="shared" si="14"/>
        <v>3.9735279467281881</v>
      </c>
      <c r="AM53" s="23">
        <f t="shared" si="15"/>
        <v>0</v>
      </c>
      <c r="AN53" s="23">
        <f t="shared" si="16"/>
        <v>3.9735279467281881</v>
      </c>
      <c r="AQ53" s="32">
        <f t="shared" si="17"/>
        <v>42736</v>
      </c>
      <c r="AR53" s="32">
        <f t="shared" si="18"/>
        <v>42916</v>
      </c>
      <c r="AS53" s="50">
        <v>2</v>
      </c>
      <c r="AT53" s="1">
        <f t="shared" si="19"/>
        <v>0</v>
      </c>
      <c r="AU53" s="1">
        <f t="shared" si="20"/>
        <v>0</v>
      </c>
      <c r="AV53" s="1">
        <f t="shared" si="21"/>
        <v>0</v>
      </c>
      <c r="AW53" s="1">
        <f t="shared" si="22"/>
        <v>0</v>
      </c>
      <c r="AX53" s="1">
        <f t="shared" si="23"/>
        <v>90.5</v>
      </c>
      <c r="AY53" s="23">
        <f t="shared" si="24"/>
        <v>0.5</v>
      </c>
      <c r="AZ53" s="23">
        <f t="shared" si="25"/>
        <v>0.63576447147651005</v>
      </c>
      <c r="BA53" s="23">
        <f t="shared" si="26"/>
        <v>0.63576447147651005</v>
      </c>
      <c r="BB53" s="23">
        <f t="shared" si="27"/>
        <v>1.5894111786912752</v>
      </c>
      <c r="BC53" s="23">
        <f t="shared" si="28"/>
        <v>0</v>
      </c>
      <c r="BD53" s="23">
        <f t="shared" si="29"/>
        <v>1.5894111786912752</v>
      </c>
    </row>
    <row r="54" spans="1:56">
      <c r="A54" s="1" t="s">
        <v>20</v>
      </c>
      <c r="B54" s="1" t="s">
        <v>32</v>
      </c>
      <c r="C54" s="1" t="s">
        <v>22</v>
      </c>
      <c r="D54" s="1" t="s">
        <v>33</v>
      </c>
      <c r="E54" s="51" t="s">
        <v>107</v>
      </c>
      <c r="F54" s="51" t="s">
        <v>108</v>
      </c>
      <c r="G54" s="51" t="s">
        <v>109</v>
      </c>
      <c r="H54" s="51" t="s">
        <v>281</v>
      </c>
      <c r="I54" s="1" t="s">
        <v>147</v>
      </c>
      <c r="J54" s="51" t="s">
        <v>112</v>
      </c>
      <c r="K54" s="51" t="s">
        <v>112</v>
      </c>
      <c r="L54" s="51" t="s">
        <v>112</v>
      </c>
      <c r="M54" s="1">
        <v>1600236</v>
      </c>
      <c r="N54" s="50" t="s">
        <v>339</v>
      </c>
      <c r="O54" s="55">
        <f t="shared" si="36"/>
        <v>40994</v>
      </c>
      <c r="P54" s="55">
        <f t="shared" si="37"/>
        <v>42185</v>
      </c>
      <c r="Q54" s="51">
        <v>3407</v>
      </c>
      <c r="S54" s="51">
        <v>2</v>
      </c>
      <c r="U54" s="1">
        <f t="shared" si="0"/>
        <v>1192</v>
      </c>
      <c r="V54" s="31">
        <f t="shared" si="1"/>
        <v>2.8582214765100673</v>
      </c>
      <c r="W54" s="31">
        <f t="shared" si="2"/>
        <v>1043.2508389261745</v>
      </c>
      <c r="X54" s="31">
        <f t="shared" si="3"/>
        <v>1.3040635486577181</v>
      </c>
      <c r="AA54" s="32">
        <f t="shared" si="4"/>
        <v>42552</v>
      </c>
      <c r="AB54" s="32">
        <f t="shared" si="5"/>
        <v>42735</v>
      </c>
      <c r="AC54" s="50">
        <v>7</v>
      </c>
      <c r="AD54" s="1">
        <f t="shared" si="6"/>
        <v>0</v>
      </c>
      <c r="AE54" s="1">
        <f t="shared" si="7"/>
        <v>0</v>
      </c>
      <c r="AF54" s="1">
        <f t="shared" si="8"/>
        <v>0</v>
      </c>
      <c r="AG54" s="1">
        <f t="shared" si="9"/>
        <v>0</v>
      </c>
      <c r="AH54" s="1">
        <f t="shared" si="10"/>
        <v>92</v>
      </c>
      <c r="AI54" s="23">
        <f t="shared" si="11"/>
        <v>0.5</v>
      </c>
      <c r="AJ54" s="23">
        <f t="shared" si="12"/>
        <v>0.65203177432885906</v>
      </c>
      <c r="AK54" s="23">
        <f t="shared" si="13"/>
        <v>2.2821112101510068</v>
      </c>
      <c r="AL54" s="23">
        <f t="shared" si="14"/>
        <v>4.5642224203020136</v>
      </c>
      <c r="AM54" s="23">
        <f t="shared" si="15"/>
        <v>0</v>
      </c>
      <c r="AN54" s="23">
        <f t="shared" si="16"/>
        <v>4.5642224203020136</v>
      </c>
      <c r="AQ54" s="32">
        <f t="shared" si="17"/>
        <v>42736</v>
      </c>
      <c r="AR54" s="32">
        <f t="shared" si="18"/>
        <v>42916</v>
      </c>
      <c r="AS54" s="50">
        <v>6</v>
      </c>
      <c r="AT54" s="1">
        <f t="shared" si="19"/>
        <v>0</v>
      </c>
      <c r="AU54" s="1">
        <f t="shared" si="20"/>
        <v>0</v>
      </c>
      <c r="AV54" s="1">
        <f t="shared" si="21"/>
        <v>0</v>
      </c>
      <c r="AW54" s="1">
        <f t="shared" si="22"/>
        <v>0</v>
      </c>
      <c r="AX54" s="1">
        <f t="shared" si="23"/>
        <v>90.5</v>
      </c>
      <c r="AY54" s="23">
        <f t="shared" si="24"/>
        <v>0.5</v>
      </c>
      <c r="AZ54" s="23">
        <f t="shared" si="25"/>
        <v>0.65203177432885906</v>
      </c>
      <c r="BA54" s="23">
        <f t="shared" si="26"/>
        <v>1.9560953229865772</v>
      </c>
      <c r="BB54" s="23">
        <f t="shared" si="27"/>
        <v>3.9121906459731544</v>
      </c>
      <c r="BC54" s="23">
        <f t="shared" si="28"/>
        <v>0</v>
      </c>
      <c r="BD54" s="23">
        <f t="shared" si="29"/>
        <v>3.9121906459731544</v>
      </c>
    </row>
    <row r="55" spans="1:56">
      <c r="A55" s="1" t="s">
        <v>20</v>
      </c>
      <c r="B55" s="1" t="s">
        <v>32</v>
      </c>
      <c r="C55" s="1" t="s">
        <v>22</v>
      </c>
      <c r="D55" s="1" t="s">
        <v>33</v>
      </c>
      <c r="E55" s="51" t="s">
        <v>107</v>
      </c>
      <c r="F55" s="51" t="s">
        <v>108</v>
      </c>
      <c r="G55" s="51" t="s">
        <v>109</v>
      </c>
      <c r="H55" s="51" t="s">
        <v>290</v>
      </c>
      <c r="I55" s="1" t="s">
        <v>125</v>
      </c>
      <c r="J55" s="51" t="s">
        <v>112</v>
      </c>
      <c r="K55" s="51" t="s">
        <v>112</v>
      </c>
      <c r="L55" s="51" t="s">
        <v>112</v>
      </c>
      <c r="M55" s="1">
        <v>1600237</v>
      </c>
      <c r="N55" s="50" t="s">
        <v>340</v>
      </c>
      <c r="O55" s="55">
        <f t="shared" si="36"/>
        <v>40994</v>
      </c>
      <c r="P55" s="55">
        <f t="shared" si="37"/>
        <v>42185</v>
      </c>
      <c r="Q55" s="51">
        <v>3404</v>
      </c>
      <c r="S55" s="51">
        <v>2.5</v>
      </c>
      <c r="U55" s="1">
        <f t="shared" si="0"/>
        <v>1192</v>
      </c>
      <c r="V55" s="31">
        <f t="shared" si="1"/>
        <v>2.8557046979865772</v>
      </c>
      <c r="W55" s="31">
        <f t="shared" si="2"/>
        <v>1042.3322147651006</v>
      </c>
      <c r="X55" s="31">
        <f t="shared" si="3"/>
        <v>1.3029152684563758</v>
      </c>
      <c r="AA55" s="32">
        <f t="shared" si="4"/>
        <v>42552</v>
      </c>
      <c r="AB55" s="32">
        <f t="shared" si="5"/>
        <v>42735</v>
      </c>
      <c r="AC55" s="50">
        <v>7</v>
      </c>
      <c r="AD55" s="1">
        <f t="shared" si="6"/>
        <v>0</v>
      </c>
      <c r="AE55" s="1">
        <f t="shared" si="7"/>
        <v>0</v>
      </c>
      <c r="AF55" s="1">
        <f t="shared" si="8"/>
        <v>0</v>
      </c>
      <c r="AG55" s="1">
        <f t="shared" si="9"/>
        <v>0</v>
      </c>
      <c r="AH55" s="1">
        <f t="shared" si="10"/>
        <v>92</v>
      </c>
      <c r="AI55" s="23">
        <f t="shared" si="11"/>
        <v>0.5</v>
      </c>
      <c r="AJ55" s="23">
        <f t="shared" si="12"/>
        <v>0.65145763422818792</v>
      </c>
      <c r="AK55" s="23">
        <f t="shared" si="13"/>
        <v>2.2801017197986577</v>
      </c>
      <c r="AL55" s="23">
        <f t="shared" si="14"/>
        <v>5.7002542994966445</v>
      </c>
      <c r="AM55" s="23">
        <f t="shared" si="15"/>
        <v>0</v>
      </c>
      <c r="AN55" s="23">
        <f t="shared" si="16"/>
        <v>5.7002542994966445</v>
      </c>
      <c r="AQ55" s="32">
        <f t="shared" si="17"/>
        <v>42736</v>
      </c>
      <c r="AR55" s="32">
        <f t="shared" si="18"/>
        <v>42916</v>
      </c>
      <c r="AS55" s="50">
        <v>3</v>
      </c>
      <c r="AT55" s="1">
        <f t="shared" si="19"/>
        <v>0</v>
      </c>
      <c r="AU55" s="1">
        <f t="shared" si="20"/>
        <v>0</v>
      </c>
      <c r="AV55" s="1">
        <f t="shared" si="21"/>
        <v>0</v>
      </c>
      <c r="AW55" s="1">
        <f t="shared" si="22"/>
        <v>0</v>
      </c>
      <c r="AX55" s="1">
        <f t="shared" si="23"/>
        <v>90.5</v>
      </c>
      <c r="AY55" s="23">
        <f t="shared" si="24"/>
        <v>0.5</v>
      </c>
      <c r="AZ55" s="23">
        <f t="shared" si="25"/>
        <v>0.65145763422818792</v>
      </c>
      <c r="BA55" s="23">
        <f t="shared" si="26"/>
        <v>0.97718645134228188</v>
      </c>
      <c r="BB55" s="23">
        <f t="shared" si="27"/>
        <v>2.4429661283557049</v>
      </c>
      <c r="BC55" s="23">
        <f t="shared" si="28"/>
        <v>0</v>
      </c>
      <c r="BD55" s="23">
        <f t="shared" si="29"/>
        <v>2.4429661283557049</v>
      </c>
    </row>
    <row r="56" spans="1:56">
      <c r="A56" s="1" t="s">
        <v>20</v>
      </c>
      <c r="B56" s="1" t="s">
        <v>32</v>
      </c>
      <c r="C56" s="1" t="s">
        <v>22</v>
      </c>
      <c r="D56" s="1" t="s">
        <v>33</v>
      </c>
      <c r="E56" s="51" t="s">
        <v>107</v>
      </c>
      <c r="F56" s="51" t="s">
        <v>108</v>
      </c>
      <c r="G56" s="51" t="s">
        <v>109</v>
      </c>
      <c r="H56" s="51" t="s">
        <v>277</v>
      </c>
      <c r="I56" s="1" t="s">
        <v>278</v>
      </c>
      <c r="J56" s="51" t="s">
        <v>112</v>
      </c>
      <c r="K56" s="51" t="s">
        <v>112</v>
      </c>
      <c r="L56" s="51" t="s">
        <v>112</v>
      </c>
      <c r="M56" s="1">
        <v>1600238</v>
      </c>
      <c r="N56" s="50" t="s">
        <v>341</v>
      </c>
      <c r="O56" s="55">
        <f t="shared" si="36"/>
        <v>40994</v>
      </c>
      <c r="P56" s="55">
        <f t="shared" si="37"/>
        <v>42185</v>
      </c>
      <c r="Q56" s="51">
        <v>3102</v>
      </c>
      <c r="S56" s="51">
        <v>1.5</v>
      </c>
      <c r="U56" s="1">
        <f t="shared" si="0"/>
        <v>1192</v>
      </c>
      <c r="V56" s="31">
        <f t="shared" si="1"/>
        <v>2.6023489932885906</v>
      </c>
      <c r="W56" s="31">
        <f t="shared" si="2"/>
        <v>949.85738255033561</v>
      </c>
      <c r="X56" s="31">
        <f t="shared" si="3"/>
        <v>1.1873217281879196</v>
      </c>
      <c r="AA56" s="32">
        <f t="shared" si="4"/>
        <v>42552</v>
      </c>
      <c r="AB56" s="32">
        <f t="shared" si="5"/>
        <v>42735</v>
      </c>
      <c r="AC56" s="50">
        <v>4</v>
      </c>
      <c r="AD56" s="1">
        <f t="shared" si="6"/>
        <v>0</v>
      </c>
      <c r="AE56" s="1">
        <f t="shared" si="7"/>
        <v>0</v>
      </c>
      <c r="AF56" s="1">
        <f t="shared" si="8"/>
        <v>0</v>
      </c>
      <c r="AG56" s="1">
        <f t="shared" si="9"/>
        <v>0</v>
      </c>
      <c r="AH56" s="1">
        <f t="shared" si="10"/>
        <v>92</v>
      </c>
      <c r="AI56" s="23">
        <f t="shared" si="11"/>
        <v>0.5</v>
      </c>
      <c r="AJ56" s="23">
        <f t="shared" si="12"/>
        <v>0.59366086409395979</v>
      </c>
      <c r="AK56" s="23">
        <f t="shared" si="13"/>
        <v>1.1873217281879196</v>
      </c>
      <c r="AL56" s="23">
        <f t="shared" si="14"/>
        <v>1.7809825922818794</v>
      </c>
      <c r="AM56" s="23">
        <f t="shared" si="15"/>
        <v>0</v>
      </c>
      <c r="AN56" s="23">
        <f t="shared" si="16"/>
        <v>1.7809825922818794</v>
      </c>
      <c r="AQ56" s="32">
        <f t="shared" si="17"/>
        <v>42736</v>
      </c>
      <c r="AR56" s="32">
        <f t="shared" si="18"/>
        <v>42916</v>
      </c>
      <c r="AS56" s="50">
        <v>3</v>
      </c>
      <c r="AT56" s="1">
        <f t="shared" si="19"/>
        <v>0</v>
      </c>
      <c r="AU56" s="1">
        <f t="shared" si="20"/>
        <v>0</v>
      </c>
      <c r="AV56" s="1">
        <f t="shared" si="21"/>
        <v>0</v>
      </c>
      <c r="AW56" s="1">
        <f t="shared" si="22"/>
        <v>0</v>
      </c>
      <c r="AX56" s="1">
        <f t="shared" si="23"/>
        <v>90.5</v>
      </c>
      <c r="AY56" s="23">
        <f t="shared" si="24"/>
        <v>0.5</v>
      </c>
      <c r="AZ56" s="23">
        <f t="shared" si="25"/>
        <v>0.59366086409395979</v>
      </c>
      <c r="BA56" s="23">
        <f t="shared" si="26"/>
        <v>0.89049129614093969</v>
      </c>
      <c r="BB56" s="23">
        <f t="shared" si="27"/>
        <v>1.3357369442114095</v>
      </c>
      <c r="BC56" s="23">
        <f t="shared" si="28"/>
        <v>0</v>
      </c>
      <c r="BD56" s="23">
        <f t="shared" si="29"/>
        <v>1.3357369442114095</v>
      </c>
    </row>
    <row r="57" spans="1:56">
      <c r="A57" s="1" t="s">
        <v>20</v>
      </c>
      <c r="B57" s="1" t="s">
        <v>32</v>
      </c>
      <c r="C57" s="1" t="s">
        <v>22</v>
      </c>
      <c r="D57" s="1" t="s">
        <v>33</v>
      </c>
      <c r="E57" s="51" t="s">
        <v>107</v>
      </c>
      <c r="F57" s="51" t="s">
        <v>108</v>
      </c>
      <c r="G57" s="51" t="s">
        <v>109</v>
      </c>
      <c r="H57" s="51" t="s">
        <v>287</v>
      </c>
      <c r="I57" s="1" t="s">
        <v>111</v>
      </c>
      <c r="J57" s="51" t="s">
        <v>112</v>
      </c>
      <c r="K57" s="51" t="s">
        <v>112</v>
      </c>
      <c r="L57" s="51" t="s">
        <v>112</v>
      </c>
      <c r="M57" s="1">
        <v>1600239</v>
      </c>
      <c r="N57" s="50" t="s">
        <v>342</v>
      </c>
      <c r="O57" s="55">
        <f t="shared" si="36"/>
        <v>40994</v>
      </c>
      <c r="P57" s="55">
        <f t="shared" si="37"/>
        <v>42185</v>
      </c>
      <c r="Q57" s="51">
        <v>3257</v>
      </c>
      <c r="S57" s="51">
        <v>2.5</v>
      </c>
      <c r="U57" s="1">
        <f t="shared" si="0"/>
        <v>1192</v>
      </c>
      <c r="V57" s="31">
        <f t="shared" si="1"/>
        <v>2.7323825503355703</v>
      </c>
      <c r="W57" s="31">
        <f t="shared" si="2"/>
        <v>997.31963087248312</v>
      </c>
      <c r="X57" s="31">
        <f t="shared" si="3"/>
        <v>1.2466495385906038</v>
      </c>
      <c r="AA57" s="32">
        <f t="shared" si="4"/>
        <v>42552</v>
      </c>
      <c r="AB57" s="32">
        <f t="shared" si="5"/>
        <v>42735</v>
      </c>
      <c r="AC57" s="50">
        <v>11</v>
      </c>
      <c r="AD57" s="1">
        <f t="shared" si="6"/>
        <v>0</v>
      </c>
      <c r="AE57" s="1">
        <f t="shared" si="7"/>
        <v>0</v>
      </c>
      <c r="AF57" s="1">
        <f t="shared" si="8"/>
        <v>0</v>
      </c>
      <c r="AG57" s="1">
        <f t="shared" si="9"/>
        <v>0</v>
      </c>
      <c r="AH57" s="1">
        <f t="shared" si="10"/>
        <v>92</v>
      </c>
      <c r="AI57" s="23">
        <f t="shared" si="11"/>
        <v>0.5</v>
      </c>
      <c r="AJ57" s="23">
        <f t="shared" si="12"/>
        <v>0.62332476929530189</v>
      </c>
      <c r="AK57" s="23">
        <f t="shared" si="13"/>
        <v>3.4282862311241606</v>
      </c>
      <c r="AL57" s="23">
        <f t="shared" si="14"/>
        <v>8.5707155778104021</v>
      </c>
      <c r="AM57" s="23">
        <f t="shared" si="15"/>
        <v>0</v>
      </c>
      <c r="AN57" s="23">
        <f t="shared" si="16"/>
        <v>8.5707155778104021</v>
      </c>
      <c r="AQ57" s="32">
        <f t="shared" si="17"/>
        <v>42736</v>
      </c>
      <c r="AR57" s="32">
        <f t="shared" si="18"/>
        <v>42916</v>
      </c>
      <c r="AS57" s="50">
        <v>9</v>
      </c>
      <c r="AT57" s="1">
        <f t="shared" si="19"/>
        <v>0</v>
      </c>
      <c r="AU57" s="1">
        <f t="shared" si="20"/>
        <v>0</v>
      </c>
      <c r="AV57" s="1">
        <f t="shared" si="21"/>
        <v>0</v>
      </c>
      <c r="AW57" s="1">
        <f t="shared" si="22"/>
        <v>0</v>
      </c>
      <c r="AX57" s="1">
        <f t="shared" si="23"/>
        <v>90.5</v>
      </c>
      <c r="AY57" s="23">
        <f t="shared" si="24"/>
        <v>0.5</v>
      </c>
      <c r="AZ57" s="23">
        <f t="shared" si="25"/>
        <v>0.62332476929530189</v>
      </c>
      <c r="BA57" s="23">
        <f t="shared" si="26"/>
        <v>2.8049614618288583</v>
      </c>
      <c r="BB57" s="23">
        <f t="shared" si="27"/>
        <v>7.0124036545721458</v>
      </c>
      <c r="BC57" s="23">
        <f t="shared" si="28"/>
        <v>0</v>
      </c>
      <c r="BD57" s="23">
        <f t="shared" si="29"/>
        <v>7.0124036545721458</v>
      </c>
    </row>
    <row r="58" spans="1:56">
      <c r="A58" s="1" t="s">
        <v>20</v>
      </c>
      <c r="B58" s="1" t="s">
        <v>32</v>
      </c>
      <c r="C58" s="1" t="s">
        <v>22</v>
      </c>
      <c r="D58" s="1" t="s">
        <v>33</v>
      </c>
      <c r="E58" s="51" t="s">
        <v>107</v>
      </c>
      <c r="F58" s="51" t="s">
        <v>108</v>
      </c>
      <c r="G58" s="51" t="s">
        <v>109</v>
      </c>
      <c r="H58" s="51" t="s">
        <v>273</v>
      </c>
      <c r="I58" s="1" t="s">
        <v>128</v>
      </c>
      <c r="J58" s="51" t="s">
        <v>112</v>
      </c>
      <c r="K58" s="51" t="s">
        <v>112</v>
      </c>
      <c r="L58" s="51" t="s">
        <v>112</v>
      </c>
      <c r="M58" s="1">
        <v>1600240</v>
      </c>
      <c r="N58" s="50" t="s">
        <v>343</v>
      </c>
      <c r="O58" s="55">
        <f t="shared" si="36"/>
        <v>40994</v>
      </c>
      <c r="P58" s="55">
        <f t="shared" si="37"/>
        <v>42185</v>
      </c>
      <c r="Q58" s="51">
        <v>3180</v>
      </c>
      <c r="S58" s="51">
        <v>2.5</v>
      </c>
      <c r="U58" s="1">
        <f t="shared" si="0"/>
        <v>1192</v>
      </c>
      <c r="V58" s="31">
        <f t="shared" si="1"/>
        <v>2.6677852348993287</v>
      </c>
      <c r="W58" s="31">
        <f t="shared" si="2"/>
        <v>973.74161073825496</v>
      </c>
      <c r="X58" s="31">
        <f t="shared" si="3"/>
        <v>1.2171770134228188</v>
      </c>
      <c r="AA58" s="32">
        <f t="shared" si="4"/>
        <v>42552</v>
      </c>
      <c r="AB58" s="32">
        <f t="shared" si="5"/>
        <v>42735</v>
      </c>
      <c r="AC58" s="50">
        <v>10</v>
      </c>
      <c r="AD58" s="1">
        <f t="shared" si="6"/>
        <v>0</v>
      </c>
      <c r="AE58" s="1">
        <f t="shared" si="7"/>
        <v>0</v>
      </c>
      <c r="AF58" s="1">
        <f t="shared" si="8"/>
        <v>0</v>
      </c>
      <c r="AG58" s="1">
        <f t="shared" si="9"/>
        <v>0</v>
      </c>
      <c r="AH58" s="1">
        <f t="shared" si="10"/>
        <v>92</v>
      </c>
      <c r="AI58" s="23">
        <f t="shared" si="11"/>
        <v>0.5</v>
      </c>
      <c r="AJ58" s="23">
        <f t="shared" si="12"/>
        <v>0.6085885067114094</v>
      </c>
      <c r="AK58" s="23">
        <f t="shared" si="13"/>
        <v>3.042942533557047</v>
      </c>
      <c r="AL58" s="23">
        <f t="shared" si="14"/>
        <v>7.6073563338926178</v>
      </c>
      <c r="AM58" s="23">
        <f t="shared" si="15"/>
        <v>0</v>
      </c>
      <c r="AN58" s="23">
        <f t="shared" si="16"/>
        <v>7.6073563338926178</v>
      </c>
      <c r="AQ58" s="32">
        <f t="shared" si="17"/>
        <v>42736</v>
      </c>
      <c r="AR58" s="32">
        <f t="shared" si="18"/>
        <v>42916</v>
      </c>
      <c r="AS58" s="50">
        <v>9</v>
      </c>
      <c r="AT58" s="1">
        <f t="shared" si="19"/>
        <v>0</v>
      </c>
      <c r="AU58" s="1">
        <f t="shared" si="20"/>
        <v>0</v>
      </c>
      <c r="AV58" s="1">
        <f t="shared" si="21"/>
        <v>0</v>
      </c>
      <c r="AW58" s="1">
        <f t="shared" si="22"/>
        <v>0</v>
      </c>
      <c r="AX58" s="1">
        <f t="shared" si="23"/>
        <v>90.5</v>
      </c>
      <c r="AY58" s="23">
        <f t="shared" si="24"/>
        <v>0.5</v>
      </c>
      <c r="AZ58" s="23">
        <f t="shared" si="25"/>
        <v>0.6085885067114094</v>
      </c>
      <c r="BA58" s="23">
        <f t="shared" si="26"/>
        <v>2.7386482802013425</v>
      </c>
      <c r="BB58" s="23">
        <f t="shared" si="27"/>
        <v>6.8466207005033564</v>
      </c>
      <c r="BC58" s="23">
        <f t="shared" si="28"/>
        <v>0</v>
      </c>
      <c r="BD58" s="23">
        <f t="shared" si="29"/>
        <v>6.8466207005033564</v>
      </c>
    </row>
    <row r="59" spans="1:56">
      <c r="A59" s="1" t="s">
        <v>20</v>
      </c>
      <c r="B59" s="1" t="s">
        <v>32</v>
      </c>
      <c r="C59" s="1" t="s">
        <v>22</v>
      </c>
      <c r="D59" s="1" t="s">
        <v>33</v>
      </c>
      <c r="E59" s="51" t="s">
        <v>107</v>
      </c>
      <c r="F59" s="51" t="s">
        <v>108</v>
      </c>
      <c r="G59" s="51" t="s">
        <v>109</v>
      </c>
      <c r="H59" s="51" t="s">
        <v>283</v>
      </c>
      <c r="I59" s="1" t="s">
        <v>128</v>
      </c>
      <c r="J59" s="51" t="s">
        <v>112</v>
      </c>
      <c r="K59" s="51" t="s">
        <v>112</v>
      </c>
      <c r="L59" s="51" t="s">
        <v>112</v>
      </c>
      <c r="M59" s="1">
        <v>1600241</v>
      </c>
      <c r="N59" s="50" t="s">
        <v>344</v>
      </c>
      <c r="O59" s="55">
        <f t="shared" si="36"/>
        <v>40994</v>
      </c>
      <c r="P59" s="55">
        <f t="shared" si="37"/>
        <v>42185</v>
      </c>
      <c r="Q59" s="51">
        <v>3128</v>
      </c>
      <c r="S59" s="51">
        <v>2.5</v>
      </c>
      <c r="U59" s="1">
        <f t="shared" si="0"/>
        <v>1192</v>
      </c>
      <c r="V59" s="31">
        <f t="shared" si="1"/>
        <v>2.6241610738255035</v>
      </c>
      <c r="W59" s="31">
        <f t="shared" si="2"/>
        <v>957.81879194630881</v>
      </c>
      <c r="X59" s="31">
        <f t="shared" si="3"/>
        <v>1.1972734899328861</v>
      </c>
      <c r="AA59" s="32">
        <f t="shared" si="4"/>
        <v>42552</v>
      </c>
      <c r="AB59" s="32">
        <f t="shared" si="5"/>
        <v>42735</v>
      </c>
      <c r="AC59" s="50">
        <v>8</v>
      </c>
      <c r="AD59" s="1">
        <f t="shared" si="6"/>
        <v>0</v>
      </c>
      <c r="AE59" s="1">
        <f t="shared" si="7"/>
        <v>0</v>
      </c>
      <c r="AF59" s="1">
        <f t="shared" si="8"/>
        <v>0</v>
      </c>
      <c r="AG59" s="1">
        <f t="shared" si="9"/>
        <v>0</v>
      </c>
      <c r="AH59" s="1">
        <f t="shared" si="10"/>
        <v>92</v>
      </c>
      <c r="AI59" s="23">
        <f t="shared" si="11"/>
        <v>0.5</v>
      </c>
      <c r="AJ59" s="23">
        <f t="shared" si="12"/>
        <v>0.59863674496644304</v>
      </c>
      <c r="AK59" s="23">
        <f t="shared" si="13"/>
        <v>2.3945469798657721</v>
      </c>
      <c r="AL59" s="23">
        <f t="shared" si="14"/>
        <v>5.9863674496644306</v>
      </c>
      <c r="AM59" s="23">
        <f t="shared" si="15"/>
        <v>0</v>
      </c>
      <c r="AN59" s="23">
        <f t="shared" si="16"/>
        <v>5.9863674496644306</v>
      </c>
      <c r="AQ59" s="32">
        <f t="shared" si="17"/>
        <v>42736</v>
      </c>
      <c r="AR59" s="32">
        <f t="shared" si="18"/>
        <v>42916</v>
      </c>
      <c r="AS59" s="50">
        <v>3</v>
      </c>
      <c r="AT59" s="1">
        <f t="shared" si="19"/>
        <v>0</v>
      </c>
      <c r="AU59" s="1">
        <f t="shared" si="20"/>
        <v>0</v>
      </c>
      <c r="AV59" s="1">
        <f t="shared" si="21"/>
        <v>0</v>
      </c>
      <c r="AW59" s="1">
        <f t="shared" si="22"/>
        <v>0</v>
      </c>
      <c r="AX59" s="1">
        <f t="shared" si="23"/>
        <v>90.5</v>
      </c>
      <c r="AY59" s="23">
        <f t="shared" si="24"/>
        <v>0.5</v>
      </c>
      <c r="AZ59" s="23">
        <f t="shared" si="25"/>
        <v>0.59863674496644304</v>
      </c>
      <c r="BA59" s="23">
        <f t="shared" si="26"/>
        <v>0.8979551174496645</v>
      </c>
      <c r="BB59" s="23">
        <f t="shared" si="27"/>
        <v>2.2448877936241614</v>
      </c>
      <c r="BC59" s="23">
        <f t="shared" si="28"/>
        <v>0</v>
      </c>
      <c r="BD59" s="23">
        <f t="shared" si="29"/>
        <v>2.2448877936241614</v>
      </c>
    </row>
    <row r="60" spans="1:56">
      <c r="A60" s="1" t="s">
        <v>20</v>
      </c>
      <c r="B60" s="1" t="s">
        <v>32</v>
      </c>
      <c r="C60" s="1" t="s">
        <v>22</v>
      </c>
      <c r="D60" s="1" t="s">
        <v>33</v>
      </c>
      <c r="E60" s="51" t="s">
        <v>107</v>
      </c>
      <c r="F60" s="51" t="s">
        <v>108</v>
      </c>
      <c r="G60" s="51" t="s">
        <v>109</v>
      </c>
      <c r="H60" s="51" t="s">
        <v>110</v>
      </c>
      <c r="I60" s="1" t="s">
        <v>111</v>
      </c>
      <c r="J60" s="51" t="s">
        <v>112</v>
      </c>
      <c r="K60" s="51" t="s">
        <v>112</v>
      </c>
      <c r="L60" s="51" t="s">
        <v>112</v>
      </c>
      <c r="M60" s="1">
        <v>1600274</v>
      </c>
      <c r="N60" s="50" t="s">
        <v>345</v>
      </c>
      <c r="O60" s="55">
        <f t="shared" si="36"/>
        <v>40994</v>
      </c>
      <c r="P60" s="55">
        <f>DATE(2014,2,28)</f>
        <v>41698</v>
      </c>
      <c r="Q60" s="51">
        <v>1080</v>
      </c>
      <c r="S60" s="51">
        <v>2</v>
      </c>
      <c r="U60" s="1">
        <f t="shared" si="0"/>
        <v>705</v>
      </c>
      <c r="V60" s="31">
        <f t="shared" si="1"/>
        <v>1.5319148936170213</v>
      </c>
      <c r="W60" s="31">
        <f t="shared" si="2"/>
        <v>559.14893617021278</v>
      </c>
      <c r="X60" s="31">
        <f t="shared" si="3"/>
        <v>0.69893617021276599</v>
      </c>
      <c r="AA60" s="32">
        <f t="shared" si="4"/>
        <v>42552</v>
      </c>
      <c r="AB60" s="32">
        <f t="shared" si="5"/>
        <v>42735</v>
      </c>
      <c r="AC60" s="50">
        <v>9</v>
      </c>
      <c r="AD60" s="1">
        <f t="shared" si="6"/>
        <v>0</v>
      </c>
      <c r="AE60" s="1">
        <f t="shared" si="7"/>
        <v>0</v>
      </c>
      <c r="AF60" s="1">
        <f t="shared" si="8"/>
        <v>0</v>
      </c>
      <c r="AG60" s="1">
        <f t="shared" si="9"/>
        <v>0</v>
      </c>
      <c r="AH60" s="1">
        <f t="shared" si="10"/>
        <v>92</v>
      </c>
      <c r="AI60" s="23">
        <f t="shared" si="11"/>
        <v>0.5</v>
      </c>
      <c r="AJ60" s="23">
        <f t="shared" si="12"/>
        <v>0.349468085106383</v>
      </c>
      <c r="AK60" s="23">
        <f t="shared" si="13"/>
        <v>1.5726063829787236</v>
      </c>
      <c r="AL60" s="23">
        <f t="shared" si="14"/>
        <v>3.1452127659574471</v>
      </c>
      <c r="AM60" s="23">
        <f t="shared" si="15"/>
        <v>0</v>
      </c>
      <c r="AN60" s="23">
        <f t="shared" si="16"/>
        <v>3.1452127659574471</v>
      </c>
      <c r="AQ60" s="32">
        <f t="shared" si="17"/>
        <v>42736</v>
      </c>
      <c r="AR60" s="32">
        <f t="shared" si="18"/>
        <v>42916</v>
      </c>
      <c r="AS60" s="50">
        <v>7</v>
      </c>
      <c r="AT60" s="1">
        <f t="shared" si="19"/>
        <v>0</v>
      </c>
      <c r="AU60" s="1">
        <f t="shared" si="20"/>
        <v>0</v>
      </c>
      <c r="AV60" s="1">
        <f t="shared" si="21"/>
        <v>0</v>
      </c>
      <c r="AW60" s="1">
        <f t="shared" si="22"/>
        <v>0</v>
      </c>
      <c r="AX60" s="1">
        <f t="shared" si="23"/>
        <v>90.5</v>
      </c>
      <c r="AY60" s="23">
        <f t="shared" si="24"/>
        <v>0.5</v>
      </c>
      <c r="AZ60" s="23">
        <f t="shared" si="25"/>
        <v>0.349468085106383</v>
      </c>
      <c r="BA60" s="23">
        <f t="shared" si="26"/>
        <v>1.2231382978723404</v>
      </c>
      <c r="BB60" s="23">
        <f t="shared" si="27"/>
        <v>2.4462765957446808</v>
      </c>
      <c r="BC60" s="23">
        <f t="shared" si="28"/>
        <v>0</v>
      </c>
      <c r="BD60" s="23">
        <f t="shared" si="29"/>
        <v>2.4462765957446808</v>
      </c>
    </row>
    <row r="61" spans="1:56">
      <c r="A61" s="1" t="s">
        <v>20</v>
      </c>
      <c r="B61" s="1" t="s">
        <v>32</v>
      </c>
      <c r="C61" s="1" t="s">
        <v>22</v>
      </c>
      <c r="D61" s="1" t="s">
        <v>33</v>
      </c>
      <c r="E61" s="51" t="s">
        <v>107</v>
      </c>
      <c r="F61" s="51" t="s">
        <v>108</v>
      </c>
      <c r="G61" s="51" t="s">
        <v>109</v>
      </c>
      <c r="H61" s="51" t="s">
        <v>281</v>
      </c>
      <c r="I61" s="1" t="s">
        <v>147</v>
      </c>
      <c r="J61" s="51" t="s">
        <v>112</v>
      </c>
      <c r="K61" s="51" t="s">
        <v>112</v>
      </c>
      <c r="L61" s="51" t="s">
        <v>112</v>
      </c>
      <c r="M61" s="1">
        <v>1600277</v>
      </c>
      <c r="N61" s="50" t="s">
        <v>346</v>
      </c>
      <c r="O61" s="55">
        <f t="shared" si="36"/>
        <v>40994</v>
      </c>
      <c r="P61" s="55">
        <f>DATE(2014,2,28)</f>
        <v>41698</v>
      </c>
      <c r="Q61" s="51">
        <v>1700</v>
      </c>
      <c r="S61" s="51">
        <v>2</v>
      </c>
      <c r="U61" s="1">
        <f t="shared" si="0"/>
        <v>705</v>
      </c>
      <c r="V61" s="31">
        <f t="shared" si="1"/>
        <v>2.4113475177304964</v>
      </c>
      <c r="W61" s="31">
        <f t="shared" si="2"/>
        <v>880.14184397163115</v>
      </c>
      <c r="X61" s="31">
        <f t="shared" si="3"/>
        <v>1.1001773049645389</v>
      </c>
      <c r="AA61" s="32">
        <f t="shared" si="4"/>
        <v>42552</v>
      </c>
      <c r="AB61" s="32">
        <f t="shared" si="5"/>
        <v>42735</v>
      </c>
      <c r="AC61" s="50">
        <v>7</v>
      </c>
      <c r="AD61" s="1">
        <f t="shared" si="6"/>
        <v>0</v>
      </c>
      <c r="AE61" s="1">
        <f t="shared" si="7"/>
        <v>0</v>
      </c>
      <c r="AF61" s="1">
        <f t="shared" si="8"/>
        <v>0</v>
      </c>
      <c r="AG61" s="1">
        <f t="shared" si="9"/>
        <v>0</v>
      </c>
      <c r="AH61" s="1">
        <f t="shared" si="10"/>
        <v>92</v>
      </c>
      <c r="AI61" s="23">
        <f t="shared" si="11"/>
        <v>0.5</v>
      </c>
      <c r="AJ61" s="23">
        <f t="shared" si="12"/>
        <v>0.55008865248226946</v>
      </c>
      <c r="AK61" s="23">
        <f t="shared" si="13"/>
        <v>1.925310283687943</v>
      </c>
      <c r="AL61" s="23">
        <f t="shared" si="14"/>
        <v>3.850620567375886</v>
      </c>
      <c r="AM61" s="23">
        <f t="shared" si="15"/>
        <v>0</v>
      </c>
      <c r="AN61" s="23">
        <f t="shared" si="16"/>
        <v>3.850620567375886</v>
      </c>
      <c r="AQ61" s="32">
        <f t="shared" si="17"/>
        <v>42736</v>
      </c>
      <c r="AR61" s="32">
        <f t="shared" si="18"/>
        <v>42916</v>
      </c>
      <c r="AS61" s="50">
        <v>5</v>
      </c>
      <c r="AT61" s="1">
        <f t="shared" si="19"/>
        <v>0</v>
      </c>
      <c r="AU61" s="1">
        <f t="shared" si="20"/>
        <v>0</v>
      </c>
      <c r="AV61" s="1">
        <f t="shared" si="21"/>
        <v>0</v>
      </c>
      <c r="AW61" s="1">
        <f t="shared" si="22"/>
        <v>0</v>
      </c>
      <c r="AX61" s="1">
        <f t="shared" si="23"/>
        <v>90.5</v>
      </c>
      <c r="AY61" s="23">
        <f t="shared" si="24"/>
        <v>0.5</v>
      </c>
      <c r="AZ61" s="23">
        <f t="shared" si="25"/>
        <v>0.55008865248226946</v>
      </c>
      <c r="BA61" s="23">
        <f t="shared" si="26"/>
        <v>1.3752216312056738</v>
      </c>
      <c r="BB61" s="23">
        <f t="shared" si="27"/>
        <v>2.7504432624113475</v>
      </c>
      <c r="BC61" s="23">
        <f t="shared" si="28"/>
        <v>0</v>
      </c>
      <c r="BD61" s="23">
        <f t="shared" si="29"/>
        <v>2.7504432624113475</v>
      </c>
    </row>
    <row r="62" spans="1:56">
      <c r="A62" s="1" t="s">
        <v>20</v>
      </c>
      <c r="B62" s="1" t="s">
        <v>32</v>
      </c>
      <c r="C62" s="1" t="s">
        <v>22</v>
      </c>
      <c r="D62" s="1" t="s">
        <v>33</v>
      </c>
      <c r="E62" s="51" t="s">
        <v>107</v>
      </c>
      <c r="F62" s="51" t="s">
        <v>108</v>
      </c>
      <c r="G62" s="51" t="s">
        <v>109</v>
      </c>
      <c r="H62" s="51" t="s">
        <v>179</v>
      </c>
      <c r="I62" s="1" t="s">
        <v>125</v>
      </c>
      <c r="J62" s="51" t="s">
        <v>112</v>
      </c>
      <c r="K62" s="51" t="s">
        <v>112</v>
      </c>
      <c r="L62" s="51" t="s">
        <v>112</v>
      </c>
      <c r="M62" s="1">
        <v>1600278</v>
      </c>
      <c r="N62" s="56" t="s">
        <v>347</v>
      </c>
      <c r="O62" s="55">
        <f t="shared" si="36"/>
        <v>40994</v>
      </c>
      <c r="P62" s="55">
        <f>DATE(2013,10,30)</f>
        <v>41577</v>
      </c>
      <c r="Q62" s="51">
        <v>1440</v>
      </c>
      <c r="S62" s="51">
        <v>2</v>
      </c>
      <c r="U62" s="1">
        <f t="shared" si="0"/>
        <v>584</v>
      </c>
      <c r="V62" s="31">
        <f t="shared" si="1"/>
        <v>2.4657534246575343</v>
      </c>
      <c r="W62" s="31">
        <f t="shared" si="2"/>
        <v>900</v>
      </c>
      <c r="X62" s="31">
        <f t="shared" si="3"/>
        <v>1.125</v>
      </c>
      <c r="AA62" s="32">
        <f t="shared" si="4"/>
        <v>42552</v>
      </c>
      <c r="AB62" s="32">
        <f t="shared" si="5"/>
        <v>42735</v>
      </c>
      <c r="AC62" s="50">
        <v>10</v>
      </c>
      <c r="AD62" s="1">
        <f t="shared" si="6"/>
        <v>0</v>
      </c>
      <c r="AE62" s="1">
        <f t="shared" si="7"/>
        <v>0</v>
      </c>
      <c r="AF62" s="1">
        <f t="shared" si="8"/>
        <v>0</v>
      </c>
      <c r="AG62" s="1">
        <f t="shared" si="9"/>
        <v>0</v>
      </c>
      <c r="AH62" s="1">
        <f t="shared" si="10"/>
        <v>92</v>
      </c>
      <c r="AI62" s="23">
        <f t="shared" si="11"/>
        <v>0.5</v>
      </c>
      <c r="AJ62" s="23">
        <f t="shared" si="12"/>
        <v>0.5625</v>
      </c>
      <c r="AK62" s="23">
        <f t="shared" si="13"/>
        <v>2.8125</v>
      </c>
      <c r="AL62" s="23">
        <f t="shared" si="14"/>
        <v>5.625</v>
      </c>
      <c r="AM62" s="23">
        <f t="shared" si="15"/>
        <v>0</v>
      </c>
      <c r="AN62" s="23">
        <f t="shared" si="16"/>
        <v>5.625</v>
      </c>
      <c r="AQ62" s="32">
        <f t="shared" si="17"/>
        <v>42736</v>
      </c>
      <c r="AR62" s="32">
        <f t="shared" si="18"/>
        <v>42916</v>
      </c>
      <c r="AS62" s="56">
        <v>0</v>
      </c>
      <c r="AT62" s="1">
        <f t="shared" si="19"/>
        <v>0</v>
      </c>
      <c r="AU62" s="1">
        <f t="shared" si="20"/>
        <v>0</v>
      </c>
      <c r="AV62" s="1">
        <f t="shared" si="21"/>
        <v>0</v>
      </c>
      <c r="AW62" s="1">
        <f t="shared" si="22"/>
        <v>0</v>
      </c>
      <c r="AX62" s="1">
        <f t="shared" si="23"/>
        <v>90.5</v>
      </c>
      <c r="AY62" s="23">
        <f t="shared" si="24"/>
        <v>0.5</v>
      </c>
      <c r="AZ62" s="23">
        <f t="shared" si="25"/>
        <v>0.5625</v>
      </c>
      <c r="BA62" s="23">
        <f t="shared" si="26"/>
        <v>0</v>
      </c>
      <c r="BB62" s="23">
        <f t="shared" si="27"/>
        <v>0</v>
      </c>
      <c r="BC62" s="23">
        <f t="shared" si="28"/>
        <v>0</v>
      </c>
      <c r="BD62" s="23">
        <f t="shared" si="29"/>
        <v>0</v>
      </c>
    </row>
    <row r="63" spans="1:56">
      <c r="A63" s="1" t="s">
        <v>20</v>
      </c>
      <c r="B63" s="1" t="s">
        <v>32</v>
      </c>
      <c r="C63" s="1" t="s">
        <v>22</v>
      </c>
      <c r="D63" s="1" t="s">
        <v>33</v>
      </c>
      <c r="E63" s="51" t="s">
        <v>107</v>
      </c>
      <c r="F63" s="51" t="s">
        <v>108</v>
      </c>
      <c r="G63" s="51" t="s">
        <v>109</v>
      </c>
      <c r="H63" s="51" t="s">
        <v>146</v>
      </c>
      <c r="I63" s="1" t="s">
        <v>147</v>
      </c>
      <c r="J63" s="51" t="s">
        <v>148</v>
      </c>
      <c r="K63" s="51" t="s">
        <v>112</v>
      </c>
      <c r="L63" s="51" t="s">
        <v>112</v>
      </c>
      <c r="M63" s="1">
        <v>1600283</v>
      </c>
      <c r="N63" s="56" t="s">
        <v>348</v>
      </c>
      <c r="O63" s="55">
        <f t="shared" si="36"/>
        <v>40994</v>
      </c>
      <c r="P63" s="55">
        <f>DATE(2013,10,30)</f>
        <v>41577</v>
      </c>
      <c r="Q63" s="51">
        <v>1200</v>
      </c>
      <c r="S63" s="51">
        <v>2.5</v>
      </c>
      <c r="U63" s="1">
        <f t="shared" si="0"/>
        <v>584</v>
      </c>
      <c r="V63" s="31">
        <f t="shared" si="1"/>
        <v>2.0547945205479454</v>
      </c>
      <c r="W63" s="31">
        <f t="shared" si="2"/>
        <v>750.00000000000011</v>
      </c>
      <c r="X63" s="31">
        <f t="shared" si="3"/>
        <v>0.93750000000000011</v>
      </c>
      <c r="AA63" s="32">
        <f t="shared" si="4"/>
        <v>42552</v>
      </c>
      <c r="AB63" s="32">
        <f t="shared" si="5"/>
        <v>42735</v>
      </c>
      <c r="AC63" s="50">
        <v>5</v>
      </c>
      <c r="AD63" s="1">
        <f t="shared" si="6"/>
        <v>0</v>
      </c>
      <c r="AE63" s="1">
        <f t="shared" si="7"/>
        <v>0</v>
      </c>
      <c r="AF63" s="1">
        <f t="shared" si="8"/>
        <v>0</v>
      </c>
      <c r="AG63" s="1">
        <f t="shared" si="9"/>
        <v>0</v>
      </c>
      <c r="AH63" s="1">
        <f t="shared" si="10"/>
        <v>92</v>
      </c>
      <c r="AI63" s="23">
        <f t="shared" si="11"/>
        <v>0.5</v>
      </c>
      <c r="AJ63" s="23">
        <f t="shared" si="12"/>
        <v>0.46875000000000006</v>
      </c>
      <c r="AK63" s="23">
        <f t="shared" si="13"/>
        <v>1.1718750000000002</v>
      </c>
      <c r="AL63" s="23">
        <f t="shared" si="14"/>
        <v>2.9296875000000004</v>
      </c>
      <c r="AM63" s="23">
        <f t="shared" si="15"/>
        <v>1.4648437500000002</v>
      </c>
      <c r="AN63" s="23">
        <f t="shared" si="16"/>
        <v>4.3945312500000009</v>
      </c>
      <c r="AQ63" s="32">
        <f t="shared" si="17"/>
        <v>42736</v>
      </c>
      <c r="AR63" s="32">
        <f t="shared" si="18"/>
        <v>42916</v>
      </c>
      <c r="AS63" s="56">
        <v>0</v>
      </c>
      <c r="AT63" s="1">
        <f t="shared" si="19"/>
        <v>0</v>
      </c>
      <c r="AU63" s="1">
        <f t="shared" si="20"/>
        <v>0</v>
      </c>
      <c r="AV63" s="1">
        <f t="shared" si="21"/>
        <v>0</v>
      </c>
      <c r="AW63" s="1">
        <f t="shared" si="22"/>
        <v>0</v>
      </c>
      <c r="AX63" s="1">
        <f t="shared" si="23"/>
        <v>90.5</v>
      </c>
      <c r="AY63" s="23">
        <f t="shared" si="24"/>
        <v>0.5</v>
      </c>
      <c r="AZ63" s="23">
        <f t="shared" si="25"/>
        <v>0.46875000000000006</v>
      </c>
      <c r="BA63" s="23">
        <f t="shared" si="26"/>
        <v>0</v>
      </c>
      <c r="BB63" s="23">
        <f t="shared" si="27"/>
        <v>0</v>
      </c>
      <c r="BC63" s="23">
        <f t="shared" si="28"/>
        <v>0</v>
      </c>
      <c r="BD63" s="23">
        <f t="shared" si="29"/>
        <v>0</v>
      </c>
    </row>
    <row r="64" spans="1:56">
      <c r="A64" s="1" t="s">
        <v>20</v>
      </c>
      <c r="B64" s="1" t="s">
        <v>32</v>
      </c>
      <c r="C64" s="1" t="s">
        <v>22</v>
      </c>
      <c r="D64" s="1" t="s">
        <v>33</v>
      </c>
      <c r="E64" s="51" t="s">
        <v>107</v>
      </c>
      <c r="F64" s="51" t="s">
        <v>108</v>
      </c>
      <c r="G64" s="51" t="s">
        <v>109</v>
      </c>
      <c r="H64" s="51" t="s">
        <v>287</v>
      </c>
      <c r="I64" s="1" t="s">
        <v>111</v>
      </c>
      <c r="J64" s="51" t="s">
        <v>112</v>
      </c>
      <c r="K64" s="51" t="s">
        <v>112</v>
      </c>
      <c r="L64" s="51" t="s">
        <v>112</v>
      </c>
      <c r="M64" s="1">
        <v>1600293</v>
      </c>
      <c r="N64" s="56" t="s">
        <v>349</v>
      </c>
      <c r="O64" s="55">
        <f t="shared" si="36"/>
        <v>40994</v>
      </c>
      <c r="P64" s="55">
        <f>DATE(2014,2,28)</f>
        <v>41698</v>
      </c>
      <c r="Q64" s="51">
        <v>1200</v>
      </c>
      <c r="S64" s="51">
        <v>2.5</v>
      </c>
      <c r="U64" s="1">
        <f t="shared" si="0"/>
        <v>705</v>
      </c>
      <c r="V64" s="31">
        <f t="shared" si="1"/>
        <v>1.7021276595744681</v>
      </c>
      <c r="W64" s="31">
        <f t="shared" si="2"/>
        <v>621.27659574468089</v>
      </c>
      <c r="X64" s="31">
        <f t="shared" si="3"/>
        <v>0.77659574468085113</v>
      </c>
      <c r="AA64" s="32">
        <f t="shared" si="4"/>
        <v>42552</v>
      </c>
      <c r="AB64" s="32">
        <f t="shared" si="5"/>
        <v>42735</v>
      </c>
      <c r="AC64" s="50">
        <v>5</v>
      </c>
      <c r="AD64" s="1">
        <f t="shared" si="6"/>
        <v>0</v>
      </c>
      <c r="AE64" s="1">
        <f t="shared" si="7"/>
        <v>0</v>
      </c>
      <c r="AF64" s="1">
        <f t="shared" si="8"/>
        <v>0</v>
      </c>
      <c r="AG64" s="1">
        <f t="shared" si="9"/>
        <v>0</v>
      </c>
      <c r="AH64" s="1">
        <f t="shared" si="10"/>
        <v>92</v>
      </c>
      <c r="AI64" s="23">
        <f t="shared" si="11"/>
        <v>0.5</v>
      </c>
      <c r="AJ64" s="23">
        <f t="shared" si="12"/>
        <v>0.38829787234042556</v>
      </c>
      <c r="AK64" s="23">
        <f t="shared" si="13"/>
        <v>0.97074468085106391</v>
      </c>
      <c r="AL64" s="23">
        <f t="shared" si="14"/>
        <v>2.4268617021276597</v>
      </c>
      <c r="AM64" s="23">
        <f t="shared" si="15"/>
        <v>0</v>
      </c>
      <c r="AN64" s="23">
        <f t="shared" si="16"/>
        <v>2.4268617021276597</v>
      </c>
      <c r="AQ64" s="32">
        <f t="shared" si="17"/>
        <v>42736</v>
      </c>
      <c r="AR64" s="32">
        <f t="shared" si="18"/>
        <v>42916</v>
      </c>
      <c r="AS64" s="56">
        <v>0</v>
      </c>
      <c r="AT64" s="1">
        <f t="shared" si="19"/>
        <v>0</v>
      </c>
      <c r="AU64" s="1">
        <f t="shared" si="20"/>
        <v>0</v>
      </c>
      <c r="AV64" s="1">
        <f t="shared" si="21"/>
        <v>0</v>
      </c>
      <c r="AW64" s="1">
        <f t="shared" si="22"/>
        <v>0</v>
      </c>
      <c r="AX64" s="1">
        <f t="shared" si="23"/>
        <v>90.5</v>
      </c>
      <c r="AY64" s="23">
        <f t="shared" si="24"/>
        <v>0.5</v>
      </c>
      <c r="AZ64" s="23">
        <f t="shared" si="25"/>
        <v>0.38829787234042556</v>
      </c>
      <c r="BA64" s="23">
        <f t="shared" si="26"/>
        <v>0</v>
      </c>
      <c r="BB64" s="23">
        <f t="shared" si="27"/>
        <v>0</v>
      </c>
      <c r="BC64" s="23">
        <f t="shared" si="28"/>
        <v>0</v>
      </c>
      <c r="BD64" s="23">
        <f t="shared" si="29"/>
        <v>0</v>
      </c>
    </row>
    <row r="65" spans="1:56">
      <c r="A65" s="1" t="s">
        <v>20</v>
      </c>
      <c r="B65" s="1" t="s">
        <v>32</v>
      </c>
      <c r="C65" s="1" t="s">
        <v>22</v>
      </c>
      <c r="D65" s="1" t="s">
        <v>33</v>
      </c>
      <c r="E65" s="51" t="s">
        <v>107</v>
      </c>
      <c r="F65" s="51" t="s">
        <v>108</v>
      </c>
      <c r="G65" s="51" t="s">
        <v>109</v>
      </c>
      <c r="H65" s="51" t="s">
        <v>285</v>
      </c>
      <c r="I65" s="1" t="s">
        <v>125</v>
      </c>
      <c r="J65" s="51" t="s">
        <v>112</v>
      </c>
      <c r="K65" s="51" t="s">
        <v>112</v>
      </c>
      <c r="L65" s="51" t="s">
        <v>112</v>
      </c>
      <c r="M65" s="1">
        <v>1600294</v>
      </c>
      <c r="N65" s="50" t="s">
        <v>350</v>
      </c>
      <c r="O65" s="55">
        <f t="shared" si="36"/>
        <v>40994</v>
      </c>
      <c r="P65" s="55">
        <f>DATE(2014,10,30)</f>
        <v>41942</v>
      </c>
      <c r="Q65" s="51">
        <v>1340</v>
      </c>
      <c r="S65" s="51">
        <v>2.5</v>
      </c>
      <c r="U65" s="1">
        <f t="shared" si="0"/>
        <v>949</v>
      </c>
      <c r="V65" s="31">
        <f t="shared" si="1"/>
        <v>1.4120126448893573</v>
      </c>
      <c r="W65" s="31">
        <f t="shared" si="2"/>
        <v>515.38461538461536</v>
      </c>
      <c r="X65" s="31">
        <f t="shared" si="3"/>
        <v>0.64423076923076916</v>
      </c>
      <c r="AA65" s="32">
        <f t="shared" si="4"/>
        <v>42552</v>
      </c>
      <c r="AB65" s="32">
        <f t="shared" si="5"/>
        <v>42735</v>
      </c>
      <c r="AC65" s="50">
        <v>3</v>
      </c>
      <c r="AD65" s="1">
        <f t="shared" si="6"/>
        <v>0</v>
      </c>
      <c r="AE65" s="1">
        <f t="shared" si="7"/>
        <v>0</v>
      </c>
      <c r="AF65" s="1">
        <f t="shared" si="8"/>
        <v>0</v>
      </c>
      <c r="AG65" s="1">
        <f t="shared" si="9"/>
        <v>0</v>
      </c>
      <c r="AH65" s="1">
        <f t="shared" si="10"/>
        <v>92</v>
      </c>
      <c r="AI65" s="23">
        <f t="shared" si="11"/>
        <v>0.5</v>
      </c>
      <c r="AJ65" s="23">
        <f t="shared" si="12"/>
        <v>0.32211538461538458</v>
      </c>
      <c r="AK65" s="23">
        <f t="shared" si="13"/>
        <v>0.48317307692307687</v>
      </c>
      <c r="AL65" s="23">
        <f t="shared" si="14"/>
        <v>1.2079326923076921</v>
      </c>
      <c r="AM65" s="23">
        <f t="shared" si="15"/>
        <v>0</v>
      </c>
      <c r="AN65" s="23">
        <f t="shared" si="16"/>
        <v>1.2079326923076921</v>
      </c>
      <c r="AQ65" s="32">
        <f t="shared" si="17"/>
        <v>42736</v>
      </c>
      <c r="AR65" s="32">
        <f t="shared" si="18"/>
        <v>42916</v>
      </c>
      <c r="AS65" s="50">
        <v>3</v>
      </c>
      <c r="AT65" s="1">
        <f t="shared" si="19"/>
        <v>0</v>
      </c>
      <c r="AU65" s="1">
        <f t="shared" si="20"/>
        <v>0</v>
      </c>
      <c r="AV65" s="1">
        <f t="shared" si="21"/>
        <v>0</v>
      </c>
      <c r="AW65" s="1">
        <f t="shared" si="22"/>
        <v>0</v>
      </c>
      <c r="AX65" s="1">
        <f t="shared" si="23"/>
        <v>90.5</v>
      </c>
      <c r="AY65" s="23">
        <f t="shared" si="24"/>
        <v>0.5</v>
      </c>
      <c r="AZ65" s="23">
        <f t="shared" si="25"/>
        <v>0.32211538461538458</v>
      </c>
      <c r="BA65" s="23">
        <f t="shared" si="26"/>
        <v>0.48317307692307687</v>
      </c>
      <c r="BB65" s="23">
        <f t="shared" si="27"/>
        <v>1.2079326923076921</v>
      </c>
      <c r="BC65" s="23">
        <f t="shared" si="28"/>
        <v>0</v>
      </c>
      <c r="BD65" s="23">
        <f t="shared" si="29"/>
        <v>1.2079326923076921</v>
      </c>
    </row>
    <row r="66" spans="1:56">
      <c r="A66" s="1" t="s">
        <v>20</v>
      </c>
      <c r="B66" s="1" t="s">
        <v>32</v>
      </c>
      <c r="C66" s="1" t="s">
        <v>22</v>
      </c>
      <c r="D66" s="1" t="s">
        <v>33</v>
      </c>
      <c r="E66" s="51" t="s">
        <v>107</v>
      </c>
      <c r="F66" s="51" t="s">
        <v>108</v>
      </c>
      <c r="G66" s="51" t="s">
        <v>109</v>
      </c>
      <c r="H66" s="51" t="s">
        <v>351</v>
      </c>
      <c r="I66" s="1" t="s">
        <v>125</v>
      </c>
      <c r="J66" s="51" t="s">
        <v>112</v>
      </c>
      <c r="K66" s="51" t="s">
        <v>112</v>
      </c>
      <c r="L66" s="51" t="s">
        <v>112</v>
      </c>
      <c r="M66" s="1">
        <v>1600295</v>
      </c>
      <c r="N66" s="50" t="s">
        <v>352</v>
      </c>
      <c r="O66" s="55">
        <f t="shared" si="36"/>
        <v>40994</v>
      </c>
      <c r="P66" s="55">
        <f>DATE(2014,10,30)</f>
        <v>41942</v>
      </c>
      <c r="Q66" s="51">
        <v>1360</v>
      </c>
      <c r="S66" s="51">
        <v>2</v>
      </c>
      <c r="U66" s="1">
        <f t="shared" si="0"/>
        <v>949</v>
      </c>
      <c r="V66" s="31">
        <f t="shared" si="1"/>
        <v>1.4330874604847208</v>
      </c>
      <c r="W66" s="31">
        <f t="shared" si="2"/>
        <v>523.07692307692309</v>
      </c>
      <c r="X66" s="31">
        <f t="shared" si="3"/>
        <v>0.65384615384615385</v>
      </c>
      <c r="AA66" s="32">
        <f t="shared" si="4"/>
        <v>42552</v>
      </c>
      <c r="AB66" s="32">
        <f t="shared" si="5"/>
        <v>42735</v>
      </c>
      <c r="AC66" s="50">
        <v>5</v>
      </c>
      <c r="AD66" s="1">
        <f t="shared" si="6"/>
        <v>0</v>
      </c>
      <c r="AE66" s="1">
        <f t="shared" si="7"/>
        <v>0</v>
      </c>
      <c r="AF66" s="1">
        <f t="shared" si="8"/>
        <v>0</v>
      </c>
      <c r="AG66" s="1">
        <f t="shared" si="9"/>
        <v>0</v>
      </c>
      <c r="AH66" s="1">
        <f t="shared" si="10"/>
        <v>92</v>
      </c>
      <c r="AI66" s="23">
        <f t="shared" si="11"/>
        <v>0.5</v>
      </c>
      <c r="AJ66" s="23">
        <f t="shared" si="12"/>
        <v>0.32692307692307693</v>
      </c>
      <c r="AK66" s="23">
        <f t="shared" si="13"/>
        <v>0.81730769230769229</v>
      </c>
      <c r="AL66" s="23">
        <f t="shared" si="14"/>
        <v>1.6346153846153846</v>
      </c>
      <c r="AM66" s="23">
        <f t="shared" si="15"/>
        <v>0</v>
      </c>
      <c r="AN66" s="23">
        <f t="shared" si="16"/>
        <v>1.6346153846153846</v>
      </c>
      <c r="AQ66" s="32">
        <f t="shared" si="17"/>
        <v>42736</v>
      </c>
      <c r="AR66" s="32">
        <f t="shared" si="18"/>
        <v>42916</v>
      </c>
      <c r="AS66" s="50">
        <v>5</v>
      </c>
      <c r="AT66" s="1">
        <f t="shared" si="19"/>
        <v>0</v>
      </c>
      <c r="AU66" s="1">
        <f t="shared" si="20"/>
        <v>0</v>
      </c>
      <c r="AV66" s="1">
        <f t="shared" si="21"/>
        <v>0</v>
      </c>
      <c r="AW66" s="1">
        <f t="shared" si="22"/>
        <v>0</v>
      </c>
      <c r="AX66" s="1">
        <f t="shared" si="23"/>
        <v>90.5</v>
      </c>
      <c r="AY66" s="23">
        <f t="shared" si="24"/>
        <v>0.5</v>
      </c>
      <c r="AZ66" s="23">
        <f t="shared" si="25"/>
        <v>0.32692307692307693</v>
      </c>
      <c r="BA66" s="23">
        <f t="shared" si="26"/>
        <v>0.81730769230769229</v>
      </c>
      <c r="BB66" s="23">
        <f t="shared" si="27"/>
        <v>1.6346153846153846</v>
      </c>
      <c r="BC66" s="23">
        <f t="shared" si="28"/>
        <v>0</v>
      </c>
      <c r="BD66" s="23">
        <f t="shared" si="29"/>
        <v>1.6346153846153846</v>
      </c>
    </row>
    <row r="67" spans="1:56">
      <c r="A67" s="1" t="s">
        <v>20</v>
      </c>
      <c r="B67" s="1" t="s">
        <v>32</v>
      </c>
      <c r="C67" s="1" t="s">
        <v>22</v>
      </c>
      <c r="D67" s="1" t="s">
        <v>33</v>
      </c>
      <c r="E67" s="51" t="s">
        <v>107</v>
      </c>
      <c r="F67" s="51" t="s">
        <v>108</v>
      </c>
      <c r="G67" s="51" t="s">
        <v>109</v>
      </c>
      <c r="H67" s="51" t="s">
        <v>277</v>
      </c>
      <c r="I67" s="1" t="s">
        <v>278</v>
      </c>
      <c r="J67" s="51" t="s">
        <v>112</v>
      </c>
      <c r="K67" s="51" t="s">
        <v>112</v>
      </c>
      <c r="L67" s="51" t="s">
        <v>112</v>
      </c>
      <c r="M67" s="1">
        <v>1600296</v>
      </c>
      <c r="N67" s="56" t="s">
        <v>353</v>
      </c>
      <c r="O67" s="55">
        <f t="shared" si="36"/>
        <v>40994</v>
      </c>
      <c r="P67" s="55">
        <f>DATE(2013,10,30)</f>
        <v>41577</v>
      </c>
      <c r="Q67" s="51">
        <v>1000</v>
      </c>
      <c r="S67" s="51">
        <v>1.5</v>
      </c>
      <c r="U67" s="1">
        <f t="shared" si="0"/>
        <v>584</v>
      </c>
      <c r="V67" s="31">
        <f t="shared" si="1"/>
        <v>1.7123287671232876</v>
      </c>
      <c r="W67" s="31">
        <f t="shared" si="2"/>
        <v>625</v>
      </c>
      <c r="X67" s="31">
        <f t="shared" si="3"/>
        <v>0.78125</v>
      </c>
      <c r="AA67" s="32">
        <f t="shared" si="4"/>
        <v>42552</v>
      </c>
      <c r="AB67" s="32">
        <f t="shared" si="5"/>
        <v>42735</v>
      </c>
      <c r="AC67" s="50">
        <v>6</v>
      </c>
      <c r="AD67" s="1">
        <f t="shared" si="6"/>
        <v>0</v>
      </c>
      <c r="AE67" s="1">
        <f t="shared" si="7"/>
        <v>0</v>
      </c>
      <c r="AF67" s="1">
        <f t="shared" si="8"/>
        <v>0</v>
      </c>
      <c r="AG67" s="1">
        <f t="shared" si="9"/>
        <v>0</v>
      </c>
      <c r="AH67" s="1">
        <f t="shared" si="10"/>
        <v>92</v>
      </c>
      <c r="AI67" s="23">
        <f t="shared" si="11"/>
        <v>0.5</v>
      </c>
      <c r="AJ67" s="23">
        <f t="shared" si="12"/>
        <v>0.390625</v>
      </c>
      <c r="AK67" s="23">
        <f t="shared" si="13"/>
        <v>1.171875</v>
      </c>
      <c r="AL67" s="23">
        <f t="shared" si="14"/>
        <v>1.7578125</v>
      </c>
      <c r="AM67" s="23">
        <f t="shared" si="15"/>
        <v>0</v>
      </c>
      <c r="AN67" s="23">
        <f t="shared" si="16"/>
        <v>1.7578125</v>
      </c>
      <c r="AQ67" s="32">
        <f t="shared" si="17"/>
        <v>42736</v>
      </c>
      <c r="AR67" s="32">
        <f t="shared" si="18"/>
        <v>42916</v>
      </c>
      <c r="AS67" s="56">
        <v>0</v>
      </c>
      <c r="AT67" s="1">
        <f t="shared" si="19"/>
        <v>0</v>
      </c>
      <c r="AU67" s="1">
        <f t="shared" si="20"/>
        <v>0</v>
      </c>
      <c r="AV67" s="1">
        <f t="shared" si="21"/>
        <v>0</v>
      </c>
      <c r="AW67" s="1">
        <f t="shared" si="22"/>
        <v>0</v>
      </c>
      <c r="AX67" s="1">
        <f t="shared" si="23"/>
        <v>90.5</v>
      </c>
      <c r="AY67" s="23">
        <f t="shared" si="24"/>
        <v>0.5</v>
      </c>
      <c r="AZ67" s="23">
        <f t="shared" si="25"/>
        <v>0.390625</v>
      </c>
      <c r="BA67" s="23">
        <f t="shared" si="26"/>
        <v>0</v>
      </c>
      <c r="BB67" s="23">
        <f t="shared" si="27"/>
        <v>0</v>
      </c>
      <c r="BC67" s="23">
        <f t="shared" si="28"/>
        <v>0</v>
      </c>
      <c r="BD67" s="23">
        <f t="shared" si="29"/>
        <v>0</v>
      </c>
    </row>
    <row r="68" spans="1:56">
      <c r="A68" s="1" t="s">
        <v>20</v>
      </c>
      <c r="B68" s="1" t="s">
        <v>32</v>
      </c>
      <c r="C68" s="1" t="s">
        <v>22</v>
      </c>
      <c r="D68" s="1" t="s">
        <v>33</v>
      </c>
      <c r="E68" s="51" t="s">
        <v>107</v>
      </c>
      <c r="F68" s="51" t="s">
        <v>108</v>
      </c>
      <c r="G68" s="51" t="s">
        <v>109</v>
      </c>
      <c r="H68" s="51" t="s">
        <v>156</v>
      </c>
      <c r="I68" s="1" t="s">
        <v>128</v>
      </c>
      <c r="J68" s="51" t="s">
        <v>112</v>
      </c>
      <c r="K68" s="51" t="s">
        <v>112</v>
      </c>
      <c r="L68" s="51" t="s">
        <v>112</v>
      </c>
      <c r="M68" s="1">
        <v>1600298</v>
      </c>
      <c r="N68" s="50" t="s">
        <v>354</v>
      </c>
      <c r="O68" s="55">
        <f t="shared" si="36"/>
        <v>40994</v>
      </c>
      <c r="P68" s="55">
        <f>DATE(2014,2,28)</f>
        <v>41698</v>
      </c>
      <c r="Q68" s="51">
        <v>1200</v>
      </c>
      <c r="S68" s="51">
        <v>2.5</v>
      </c>
      <c r="U68" s="1">
        <f t="shared" ref="U68:U131" si="38">P68-O68+1</f>
        <v>705</v>
      </c>
      <c r="V68" s="31">
        <f t="shared" ref="V68:V131" si="39">Q68/U68</f>
        <v>1.7021276595744681</v>
      </c>
      <c r="W68" s="31">
        <f t="shared" ref="W68:W131" si="40">IF(U68&gt;365,V68*365,Q68)</f>
        <v>621.27659574468089</v>
      </c>
      <c r="X68" s="31">
        <f t="shared" ref="X68:X131" si="41">IF(U68&gt;365,W68/800,Q68/800)</f>
        <v>0.77659574468085113</v>
      </c>
      <c r="AA68" s="32">
        <f t="shared" ref="AA68:AA131" si="42">DATE(2016,7,1)</f>
        <v>42552</v>
      </c>
      <c r="AB68" s="32">
        <f t="shared" ref="AB68:AB131" si="43">DATE(2016,12,31)</f>
        <v>42735</v>
      </c>
      <c r="AC68" s="50">
        <v>5</v>
      </c>
      <c r="AD68" s="1">
        <f t="shared" ref="AD68:AD131" si="44">IF(AND(O68&lt;AA68,P68&gt;AB68),AB68-AA68+1,0)</f>
        <v>0</v>
      </c>
      <c r="AE68" s="1">
        <f t="shared" ref="AE68:AE131" si="45">IF(AND(O68&gt;=AA68,P68&gt;AB68,O68&lt;AB68),AB68-O68+1,0)</f>
        <v>0</v>
      </c>
      <c r="AF68" s="1">
        <f t="shared" ref="AF68:AF131" si="46">IF(AND(O68&lt;AA68,P68&lt;=AB68,P68&gt;=AA68),P68-AA68+1,0)</f>
        <v>0</v>
      </c>
      <c r="AG68" s="1">
        <f t="shared" ref="AG68:AG131" si="47">IF(AND(O68&gt;=AA68,P68&lt;=AB68),P68-O68+1,0)</f>
        <v>0</v>
      </c>
      <c r="AH68" s="1">
        <f t="shared" ref="AH68:AH131" si="48">IF(AND(O68&lt;AA68,P68&lt;AA68),(AB68-AA68+1)/2,0)</f>
        <v>92</v>
      </c>
      <c r="AI68" s="23">
        <f t="shared" ref="AI68:AI131" si="49">SUM(AD68:AH68)/(AB68-AA68+1)</f>
        <v>0.5</v>
      </c>
      <c r="AJ68" s="23">
        <f t="shared" ref="AJ68:AJ131" si="50">X68*AI68</f>
        <v>0.38829787234042556</v>
      </c>
      <c r="AK68" s="23">
        <f t="shared" ref="AK68:AK131" si="51">IF(AH68=0,AJ68*AC68,IF(AA68-P68&gt;1095,0,AJ68*(AC68/2)))</f>
        <v>0.97074468085106391</v>
      </c>
      <c r="AL68" s="23">
        <f t="shared" ref="AL68:AL131" si="52">AK68*S68</f>
        <v>2.4268617021276597</v>
      </c>
      <c r="AM68" s="23">
        <f t="shared" ref="AM68:AM131" si="53">IF(J68="SIM",AL68*50%,0)</f>
        <v>0</v>
      </c>
      <c r="AN68" s="23">
        <f t="shared" ref="AN68:AN131" si="54">AL68+AM68</f>
        <v>2.4268617021276597</v>
      </c>
      <c r="AQ68" s="32">
        <f t="shared" ref="AQ68:AQ131" si="55">DATE(2017,1,1)</f>
        <v>42736</v>
      </c>
      <c r="AR68" s="32">
        <f t="shared" ref="AR68:AR131" si="56">DATE(2017,6,30)</f>
        <v>42916</v>
      </c>
      <c r="AS68" s="50">
        <v>5</v>
      </c>
      <c r="AT68" s="1">
        <f t="shared" ref="AT68:AT131" si="57">IF(AND(O68&lt;AQ68,P68&gt;AR68),AR68-AQ68+1,0)</f>
        <v>0</v>
      </c>
      <c r="AU68" s="1">
        <f t="shared" ref="AU68:AU131" si="58">IF(AND(O68&gt;=AQ68,P68&gt;AR68,O68&lt;AR68),AR68-O68+1,0)</f>
        <v>0</v>
      </c>
      <c r="AV68" s="1">
        <f t="shared" ref="AV68:AV131" si="59">IF(AND(O68&lt;AQ68,P68&lt;=AR68,P68&gt;=AQ68),P68-AQ68+1,0)</f>
        <v>0</v>
      </c>
      <c r="AW68" s="1">
        <f t="shared" ref="AW68:AW131" si="60">IF(AND(O68&gt;=AQ68,P68&lt;=AR68),P68-O68+1,0)</f>
        <v>0</v>
      </c>
      <c r="AX68" s="1">
        <f t="shared" ref="AX68:AX131" si="61">IF(AND(O68&lt;AQ68,P68&lt;AQ68),(AR68-AQ68+1)/2,0)</f>
        <v>90.5</v>
      </c>
      <c r="AY68" s="23">
        <f t="shared" ref="AY68:AY131" si="62">SUM(AT68:AX68)/(AR68-AQ68+1)</f>
        <v>0.5</v>
      </c>
      <c r="AZ68" s="23">
        <f t="shared" ref="AZ68:AZ131" si="63">X68*AY68</f>
        <v>0.38829787234042556</v>
      </c>
      <c r="BA68" s="23">
        <f t="shared" ref="BA68:BA131" si="64">IF(AX68=0,AZ68*AS68,IF(AQ68-P68&gt;1095,0,AZ68*(AS68/2)))</f>
        <v>0.97074468085106391</v>
      </c>
      <c r="BB68" s="23">
        <f t="shared" ref="BB68:BB131" si="65">BA68*S68</f>
        <v>2.4268617021276597</v>
      </c>
      <c r="BC68" s="23">
        <f t="shared" ref="BC68:BC131" si="66">IF(J68="SIM",BB68*50%,0)</f>
        <v>0</v>
      </c>
      <c r="BD68" s="23">
        <f t="shared" ref="BD68:BD131" si="67">BB68+BC68</f>
        <v>2.4268617021276597</v>
      </c>
    </row>
    <row r="69" spans="1:56">
      <c r="A69" s="1" t="s">
        <v>20</v>
      </c>
      <c r="B69" s="1" t="s">
        <v>32</v>
      </c>
      <c r="C69" s="1" t="s">
        <v>22</v>
      </c>
      <c r="D69" s="1" t="s">
        <v>33</v>
      </c>
      <c r="E69" s="51" t="s">
        <v>107</v>
      </c>
      <c r="F69" s="51" t="s">
        <v>108</v>
      </c>
      <c r="G69" s="51" t="s">
        <v>109</v>
      </c>
      <c r="H69" s="51" t="s">
        <v>213</v>
      </c>
      <c r="I69" s="1" t="s">
        <v>214</v>
      </c>
      <c r="J69" s="51" t="s">
        <v>112</v>
      </c>
      <c r="K69" s="51" t="s">
        <v>112</v>
      </c>
      <c r="L69" s="51" t="s">
        <v>112</v>
      </c>
      <c r="M69" s="1">
        <v>1600302</v>
      </c>
      <c r="N69" s="50" t="s">
        <v>355</v>
      </c>
      <c r="O69" s="55">
        <f t="shared" si="36"/>
        <v>40994</v>
      </c>
      <c r="P69" s="55">
        <f>DATE(2014,2,28)</f>
        <v>41698</v>
      </c>
      <c r="Q69" s="51">
        <v>950</v>
      </c>
      <c r="S69" s="51">
        <v>1.5</v>
      </c>
      <c r="U69" s="1">
        <f t="shared" si="38"/>
        <v>705</v>
      </c>
      <c r="V69" s="31">
        <f t="shared" si="39"/>
        <v>1.3475177304964538</v>
      </c>
      <c r="W69" s="31">
        <f t="shared" si="40"/>
        <v>491.84397163120565</v>
      </c>
      <c r="X69" s="31">
        <f t="shared" si="41"/>
        <v>0.61480496453900702</v>
      </c>
      <c r="AA69" s="32">
        <f t="shared" si="42"/>
        <v>42552</v>
      </c>
      <c r="AB69" s="32">
        <f t="shared" si="43"/>
        <v>42735</v>
      </c>
      <c r="AC69" s="50">
        <v>6</v>
      </c>
      <c r="AD69" s="1">
        <f t="shared" si="44"/>
        <v>0</v>
      </c>
      <c r="AE69" s="1">
        <f t="shared" si="45"/>
        <v>0</v>
      </c>
      <c r="AF69" s="1">
        <f t="shared" si="46"/>
        <v>0</v>
      </c>
      <c r="AG69" s="1">
        <f t="shared" si="47"/>
        <v>0</v>
      </c>
      <c r="AH69" s="1">
        <f t="shared" si="48"/>
        <v>92</v>
      </c>
      <c r="AI69" s="23">
        <f t="shared" si="49"/>
        <v>0.5</v>
      </c>
      <c r="AJ69" s="23">
        <f t="shared" si="50"/>
        <v>0.30740248226950351</v>
      </c>
      <c r="AK69" s="23">
        <f t="shared" si="51"/>
        <v>0.92220744680851052</v>
      </c>
      <c r="AL69" s="23">
        <f t="shared" si="52"/>
        <v>1.3833111702127658</v>
      </c>
      <c r="AM69" s="23">
        <f t="shared" si="53"/>
        <v>0</v>
      </c>
      <c r="AN69" s="23">
        <f t="shared" si="54"/>
        <v>1.3833111702127658</v>
      </c>
      <c r="AQ69" s="32">
        <f t="shared" si="55"/>
        <v>42736</v>
      </c>
      <c r="AR69" s="32">
        <f t="shared" si="56"/>
        <v>42916</v>
      </c>
      <c r="AS69" s="50">
        <v>6</v>
      </c>
      <c r="AT69" s="1">
        <f t="shared" si="57"/>
        <v>0</v>
      </c>
      <c r="AU69" s="1">
        <f t="shared" si="58"/>
        <v>0</v>
      </c>
      <c r="AV69" s="1">
        <f t="shared" si="59"/>
        <v>0</v>
      </c>
      <c r="AW69" s="1">
        <f t="shared" si="60"/>
        <v>0</v>
      </c>
      <c r="AX69" s="1">
        <f t="shared" si="61"/>
        <v>90.5</v>
      </c>
      <c r="AY69" s="23">
        <f t="shared" si="62"/>
        <v>0.5</v>
      </c>
      <c r="AZ69" s="23">
        <f t="shared" si="63"/>
        <v>0.30740248226950351</v>
      </c>
      <c r="BA69" s="23">
        <f t="shared" si="64"/>
        <v>0.92220744680851052</v>
      </c>
      <c r="BB69" s="23">
        <f t="shared" si="65"/>
        <v>1.3833111702127658</v>
      </c>
      <c r="BC69" s="23">
        <f t="shared" si="66"/>
        <v>0</v>
      </c>
      <c r="BD69" s="23">
        <f t="shared" si="67"/>
        <v>1.3833111702127658</v>
      </c>
    </row>
    <row r="70" spans="1:56">
      <c r="A70" s="1" t="s">
        <v>20</v>
      </c>
      <c r="B70" s="1" t="s">
        <v>32</v>
      </c>
      <c r="C70" s="1" t="s">
        <v>22</v>
      </c>
      <c r="D70" s="1" t="s">
        <v>33</v>
      </c>
      <c r="E70" s="51" t="s">
        <v>107</v>
      </c>
      <c r="F70" s="51" t="s">
        <v>108</v>
      </c>
      <c r="G70" s="51" t="s">
        <v>109</v>
      </c>
      <c r="H70" s="51" t="s">
        <v>124</v>
      </c>
      <c r="I70" s="1" t="s">
        <v>125</v>
      </c>
      <c r="J70" s="51" t="s">
        <v>112</v>
      </c>
      <c r="K70" s="51" t="s">
        <v>112</v>
      </c>
      <c r="L70" s="51" t="s">
        <v>112</v>
      </c>
      <c r="M70" s="1">
        <v>1600303</v>
      </c>
      <c r="N70" s="56" t="s">
        <v>356</v>
      </c>
      <c r="O70" s="55">
        <f t="shared" si="36"/>
        <v>40994</v>
      </c>
      <c r="P70" s="55">
        <f>DATE(2013,10,30)</f>
        <v>41577</v>
      </c>
      <c r="Q70" s="51">
        <v>1200</v>
      </c>
      <c r="S70" s="51">
        <v>2.5</v>
      </c>
      <c r="U70" s="1">
        <f t="shared" si="38"/>
        <v>584</v>
      </c>
      <c r="V70" s="31">
        <f t="shared" si="39"/>
        <v>2.0547945205479454</v>
      </c>
      <c r="W70" s="31">
        <f t="shared" si="40"/>
        <v>750.00000000000011</v>
      </c>
      <c r="X70" s="31">
        <f t="shared" si="41"/>
        <v>0.93750000000000011</v>
      </c>
      <c r="AA70" s="32">
        <f t="shared" si="42"/>
        <v>42552</v>
      </c>
      <c r="AB70" s="32">
        <f t="shared" si="43"/>
        <v>42735</v>
      </c>
      <c r="AC70" s="50">
        <v>8</v>
      </c>
      <c r="AD70" s="1">
        <f t="shared" si="44"/>
        <v>0</v>
      </c>
      <c r="AE70" s="1">
        <f t="shared" si="45"/>
        <v>0</v>
      </c>
      <c r="AF70" s="1">
        <f t="shared" si="46"/>
        <v>0</v>
      </c>
      <c r="AG70" s="1">
        <f t="shared" si="47"/>
        <v>0</v>
      </c>
      <c r="AH70" s="1">
        <f t="shared" si="48"/>
        <v>92</v>
      </c>
      <c r="AI70" s="23">
        <f t="shared" si="49"/>
        <v>0.5</v>
      </c>
      <c r="AJ70" s="23">
        <f t="shared" si="50"/>
        <v>0.46875000000000006</v>
      </c>
      <c r="AK70" s="23">
        <f t="shared" si="51"/>
        <v>1.8750000000000002</v>
      </c>
      <c r="AL70" s="23">
        <f t="shared" si="52"/>
        <v>4.6875000000000009</v>
      </c>
      <c r="AM70" s="23">
        <f t="shared" si="53"/>
        <v>0</v>
      </c>
      <c r="AN70" s="23">
        <f t="shared" si="54"/>
        <v>4.6875000000000009</v>
      </c>
      <c r="AQ70" s="32">
        <f t="shared" si="55"/>
        <v>42736</v>
      </c>
      <c r="AR70" s="32">
        <f t="shared" si="56"/>
        <v>42916</v>
      </c>
      <c r="AS70" s="56">
        <v>0</v>
      </c>
      <c r="AT70" s="1">
        <f t="shared" si="57"/>
        <v>0</v>
      </c>
      <c r="AU70" s="1">
        <f t="shared" si="58"/>
        <v>0</v>
      </c>
      <c r="AV70" s="1">
        <f t="shared" si="59"/>
        <v>0</v>
      </c>
      <c r="AW70" s="1">
        <f t="shared" si="60"/>
        <v>0</v>
      </c>
      <c r="AX70" s="1">
        <f t="shared" si="61"/>
        <v>90.5</v>
      </c>
      <c r="AY70" s="23">
        <f t="shared" si="62"/>
        <v>0.5</v>
      </c>
      <c r="AZ70" s="23">
        <f t="shared" si="63"/>
        <v>0.46875000000000006</v>
      </c>
      <c r="BA70" s="23">
        <f t="shared" si="64"/>
        <v>0</v>
      </c>
      <c r="BB70" s="23">
        <f t="shared" si="65"/>
        <v>0</v>
      </c>
      <c r="BC70" s="23">
        <f t="shared" si="66"/>
        <v>0</v>
      </c>
      <c r="BD70" s="23">
        <f t="shared" si="67"/>
        <v>0</v>
      </c>
    </row>
    <row r="71" spans="1:56">
      <c r="A71" s="1" t="s">
        <v>20</v>
      </c>
      <c r="B71" s="1" t="s">
        <v>32</v>
      </c>
      <c r="C71" s="1" t="s">
        <v>22</v>
      </c>
      <c r="D71" s="1" t="s">
        <v>33</v>
      </c>
      <c r="E71" s="51" t="s">
        <v>107</v>
      </c>
      <c r="F71" s="51" t="s">
        <v>108</v>
      </c>
      <c r="G71" s="51" t="s">
        <v>109</v>
      </c>
      <c r="H71" s="51" t="s">
        <v>290</v>
      </c>
      <c r="I71" s="1" t="s">
        <v>125</v>
      </c>
      <c r="J71" s="51" t="s">
        <v>112</v>
      </c>
      <c r="K71" s="51" t="s">
        <v>112</v>
      </c>
      <c r="L71" s="51" t="s">
        <v>112</v>
      </c>
      <c r="M71" s="1">
        <v>1600304</v>
      </c>
      <c r="N71" s="56" t="s">
        <v>357</v>
      </c>
      <c r="O71" s="55">
        <f t="shared" si="36"/>
        <v>40994</v>
      </c>
      <c r="P71" s="55">
        <f>DATE(2013,10,30)</f>
        <v>41577</v>
      </c>
      <c r="Q71" s="51">
        <v>1476</v>
      </c>
      <c r="S71" s="51">
        <v>2.5</v>
      </c>
      <c r="U71" s="1">
        <f t="shared" si="38"/>
        <v>584</v>
      </c>
      <c r="V71" s="31">
        <f t="shared" si="39"/>
        <v>2.5273972602739727</v>
      </c>
      <c r="W71" s="31">
        <f t="shared" si="40"/>
        <v>922.5</v>
      </c>
      <c r="X71" s="31">
        <f t="shared" si="41"/>
        <v>1.153125</v>
      </c>
      <c r="AA71" s="32">
        <f t="shared" si="42"/>
        <v>42552</v>
      </c>
      <c r="AB71" s="32">
        <f t="shared" si="43"/>
        <v>42735</v>
      </c>
      <c r="AC71" s="50">
        <v>6</v>
      </c>
      <c r="AD71" s="1">
        <f t="shared" si="44"/>
        <v>0</v>
      </c>
      <c r="AE71" s="1">
        <f t="shared" si="45"/>
        <v>0</v>
      </c>
      <c r="AF71" s="1">
        <f t="shared" si="46"/>
        <v>0</v>
      </c>
      <c r="AG71" s="1">
        <f t="shared" si="47"/>
        <v>0</v>
      </c>
      <c r="AH71" s="1">
        <f t="shared" si="48"/>
        <v>92</v>
      </c>
      <c r="AI71" s="23">
        <f t="shared" si="49"/>
        <v>0.5</v>
      </c>
      <c r="AJ71" s="23">
        <f t="shared" si="50"/>
        <v>0.57656249999999998</v>
      </c>
      <c r="AK71" s="23">
        <f t="shared" si="51"/>
        <v>1.7296874999999998</v>
      </c>
      <c r="AL71" s="23">
        <f t="shared" si="52"/>
        <v>4.32421875</v>
      </c>
      <c r="AM71" s="23">
        <f t="shared" si="53"/>
        <v>0</v>
      </c>
      <c r="AN71" s="23">
        <f t="shared" si="54"/>
        <v>4.32421875</v>
      </c>
      <c r="AQ71" s="32">
        <f t="shared" si="55"/>
        <v>42736</v>
      </c>
      <c r="AR71" s="32">
        <f t="shared" si="56"/>
        <v>42916</v>
      </c>
      <c r="AS71" s="56">
        <v>0</v>
      </c>
      <c r="AT71" s="1">
        <f t="shared" si="57"/>
        <v>0</v>
      </c>
      <c r="AU71" s="1">
        <f t="shared" si="58"/>
        <v>0</v>
      </c>
      <c r="AV71" s="1">
        <f t="shared" si="59"/>
        <v>0</v>
      </c>
      <c r="AW71" s="1">
        <f t="shared" si="60"/>
        <v>0</v>
      </c>
      <c r="AX71" s="1">
        <f t="shared" si="61"/>
        <v>90.5</v>
      </c>
      <c r="AY71" s="23">
        <f t="shared" si="62"/>
        <v>0.5</v>
      </c>
      <c r="AZ71" s="23">
        <f t="shared" si="63"/>
        <v>0.57656249999999998</v>
      </c>
      <c r="BA71" s="23">
        <f t="shared" si="64"/>
        <v>0</v>
      </c>
      <c r="BB71" s="23">
        <f t="shared" si="65"/>
        <v>0</v>
      </c>
      <c r="BC71" s="23">
        <f t="shared" si="66"/>
        <v>0</v>
      </c>
      <c r="BD71" s="23">
        <f t="shared" si="67"/>
        <v>0</v>
      </c>
    </row>
    <row r="72" spans="1:56">
      <c r="A72" s="1" t="s">
        <v>20</v>
      </c>
      <c r="B72" s="1" t="s">
        <v>32</v>
      </c>
      <c r="C72" s="1" t="s">
        <v>22</v>
      </c>
      <c r="D72" s="1" t="s">
        <v>33</v>
      </c>
      <c r="E72" s="51" t="s">
        <v>107</v>
      </c>
      <c r="F72" s="51" t="s">
        <v>108</v>
      </c>
      <c r="G72" s="51" t="s">
        <v>109</v>
      </c>
      <c r="H72" s="51" t="s">
        <v>275</v>
      </c>
      <c r="I72" s="1" t="s">
        <v>128</v>
      </c>
      <c r="J72" s="51" t="s">
        <v>112</v>
      </c>
      <c r="K72" s="51" t="s">
        <v>112</v>
      </c>
      <c r="L72" s="51" t="s">
        <v>112</v>
      </c>
      <c r="M72" s="1">
        <v>1600308</v>
      </c>
      <c r="N72" s="50" t="s">
        <v>358</v>
      </c>
      <c r="O72" s="55">
        <f t="shared" si="36"/>
        <v>40994</v>
      </c>
      <c r="P72" s="55">
        <f>DATE(2014,2,28)</f>
        <v>41698</v>
      </c>
      <c r="Q72" s="51">
        <v>1200</v>
      </c>
      <c r="S72" s="51">
        <v>2.5</v>
      </c>
      <c r="U72" s="1">
        <f t="shared" si="38"/>
        <v>705</v>
      </c>
      <c r="V72" s="31">
        <f t="shared" si="39"/>
        <v>1.7021276595744681</v>
      </c>
      <c r="W72" s="31">
        <f t="shared" si="40"/>
        <v>621.27659574468089</v>
      </c>
      <c r="X72" s="31">
        <f t="shared" si="41"/>
        <v>0.77659574468085113</v>
      </c>
      <c r="AA72" s="32">
        <f t="shared" si="42"/>
        <v>42552</v>
      </c>
      <c r="AB72" s="32">
        <f t="shared" si="43"/>
        <v>42735</v>
      </c>
      <c r="AC72" s="50">
        <v>11</v>
      </c>
      <c r="AD72" s="1">
        <f t="shared" si="44"/>
        <v>0</v>
      </c>
      <c r="AE72" s="1">
        <f t="shared" si="45"/>
        <v>0</v>
      </c>
      <c r="AF72" s="1">
        <f t="shared" si="46"/>
        <v>0</v>
      </c>
      <c r="AG72" s="1">
        <f t="shared" si="47"/>
        <v>0</v>
      </c>
      <c r="AH72" s="1">
        <f t="shared" si="48"/>
        <v>92</v>
      </c>
      <c r="AI72" s="23">
        <f t="shared" si="49"/>
        <v>0.5</v>
      </c>
      <c r="AJ72" s="23">
        <f t="shared" si="50"/>
        <v>0.38829787234042556</v>
      </c>
      <c r="AK72" s="23">
        <f t="shared" si="51"/>
        <v>2.1356382978723407</v>
      </c>
      <c r="AL72" s="23">
        <f t="shared" si="52"/>
        <v>5.3390957446808516</v>
      </c>
      <c r="AM72" s="23">
        <f t="shared" si="53"/>
        <v>0</v>
      </c>
      <c r="AN72" s="23">
        <f t="shared" si="54"/>
        <v>5.3390957446808516</v>
      </c>
      <c r="AQ72" s="32">
        <f t="shared" si="55"/>
        <v>42736</v>
      </c>
      <c r="AR72" s="32">
        <f t="shared" si="56"/>
        <v>42916</v>
      </c>
      <c r="AS72" s="50">
        <v>9</v>
      </c>
      <c r="AT72" s="1">
        <f t="shared" si="57"/>
        <v>0</v>
      </c>
      <c r="AU72" s="1">
        <f t="shared" si="58"/>
        <v>0</v>
      </c>
      <c r="AV72" s="1">
        <f t="shared" si="59"/>
        <v>0</v>
      </c>
      <c r="AW72" s="1">
        <f t="shared" si="60"/>
        <v>0</v>
      </c>
      <c r="AX72" s="1">
        <f t="shared" si="61"/>
        <v>90.5</v>
      </c>
      <c r="AY72" s="23">
        <f t="shared" si="62"/>
        <v>0.5</v>
      </c>
      <c r="AZ72" s="23">
        <f t="shared" si="63"/>
        <v>0.38829787234042556</v>
      </c>
      <c r="BA72" s="23">
        <f t="shared" si="64"/>
        <v>1.7473404255319149</v>
      </c>
      <c r="BB72" s="23">
        <f t="shared" si="65"/>
        <v>4.3683510638297873</v>
      </c>
      <c r="BC72" s="23">
        <f t="shared" si="66"/>
        <v>0</v>
      </c>
      <c r="BD72" s="23">
        <f t="shared" si="67"/>
        <v>4.3683510638297873</v>
      </c>
    </row>
    <row r="73" spans="1:56">
      <c r="A73" s="1" t="s">
        <v>20</v>
      </c>
      <c r="B73" s="1" t="s">
        <v>32</v>
      </c>
      <c r="C73" s="1" t="s">
        <v>22</v>
      </c>
      <c r="D73" s="1" t="s">
        <v>33</v>
      </c>
      <c r="E73" s="51" t="s">
        <v>107</v>
      </c>
      <c r="F73" s="51" t="s">
        <v>108</v>
      </c>
      <c r="G73" s="51" t="s">
        <v>109</v>
      </c>
      <c r="H73" s="51" t="s">
        <v>285</v>
      </c>
      <c r="I73" s="1" t="s">
        <v>125</v>
      </c>
      <c r="J73" s="51" t="s">
        <v>112</v>
      </c>
      <c r="K73" s="51" t="s">
        <v>112</v>
      </c>
      <c r="L73" s="51" t="s">
        <v>112</v>
      </c>
      <c r="M73" s="1">
        <v>1600313</v>
      </c>
      <c r="N73" s="50" t="s">
        <v>359</v>
      </c>
      <c r="O73" s="55">
        <f t="shared" ref="O73:O85" si="68">DATE(2012,11,1)</f>
        <v>41214</v>
      </c>
      <c r="P73" s="55">
        <f t="shared" ref="P73:P79" si="69">DATE(2014,6,30)</f>
        <v>41820</v>
      </c>
      <c r="Q73" s="51">
        <v>1340</v>
      </c>
      <c r="S73" s="51">
        <v>2.5</v>
      </c>
      <c r="U73" s="1">
        <f t="shared" si="38"/>
        <v>607</v>
      </c>
      <c r="V73" s="31">
        <f t="shared" si="39"/>
        <v>2.2075782537067545</v>
      </c>
      <c r="W73" s="31">
        <f t="shared" si="40"/>
        <v>805.76606260296535</v>
      </c>
      <c r="X73" s="31">
        <f t="shared" si="41"/>
        <v>1.0072075782537067</v>
      </c>
      <c r="AA73" s="32">
        <f t="shared" si="42"/>
        <v>42552</v>
      </c>
      <c r="AB73" s="32">
        <f t="shared" si="43"/>
        <v>42735</v>
      </c>
      <c r="AC73" s="50">
        <v>5</v>
      </c>
      <c r="AD73" s="1">
        <f t="shared" si="44"/>
        <v>0</v>
      </c>
      <c r="AE73" s="1">
        <f t="shared" si="45"/>
        <v>0</v>
      </c>
      <c r="AF73" s="1">
        <f t="shared" si="46"/>
        <v>0</v>
      </c>
      <c r="AG73" s="1">
        <f t="shared" si="47"/>
        <v>0</v>
      </c>
      <c r="AH73" s="1">
        <f t="shared" si="48"/>
        <v>92</v>
      </c>
      <c r="AI73" s="23">
        <f t="shared" si="49"/>
        <v>0.5</v>
      </c>
      <c r="AJ73" s="23">
        <f t="shared" si="50"/>
        <v>0.50360378912685333</v>
      </c>
      <c r="AK73" s="23">
        <f t="shared" si="51"/>
        <v>1.2590094728171333</v>
      </c>
      <c r="AL73" s="23">
        <f t="shared" si="52"/>
        <v>3.1475236820428334</v>
      </c>
      <c r="AM73" s="23">
        <f t="shared" si="53"/>
        <v>0</v>
      </c>
      <c r="AN73" s="23">
        <f t="shared" si="54"/>
        <v>3.1475236820428334</v>
      </c>
      <c r="AQ73" s="32">
        <f t="shared" si="55"/>
        <v>42736</v>
      </c>
      <c r="AR73" s="32">
        <f t="shared" si="56"/>
        <v>42916</v>
      </c>
      <c r="AS73" s="50">
        <v>5</v>
      </c>
      <c r="AT73" s="1">
        <f t="shared" si="57"/>
        <v>0</v>
      </c>
      <c r="AU73" s="1">
        <f t="shared" si="58"/>
        <v>0</v>
      </c>
      <c r="AV73" s="1">
        <f t="shared" si="59"/>
        <v>0</v>
      </c>
      <c r="AW73" s="1">
        <f t="shared" si="60"/>
        <v>0</v>
      </c>
      <c r="AX73" s="1">
        <f t="shared" si="61"/>
        <v>90.5</v>
      </c>
      <c r="AY73" s="23">
        <f t="shared" si="62"/>
        <v>0.5</v>
      </c>
      <c r="AZ73" s="23">
        <f t="shared" si="63"/>
        <v>0.50360378912685333</v>
      </c>
      <c r="BA73" s="23">
        <f t="shared" si="64"/>
        <v>1.2590094728171333</v>
      </c>
      <c r="BB73" s="23">
        <f t="shared" si="65"/>
        <v>3.1475236820428334</v>
      </c>
      <c r="BC73" s="23">
        <f t="shared" si="66"/>
        <v>0</v>
      </c>
      <c r="BD73" s="23">
        <f t="shared" si="67"/>
        <v>3.1475236820428334</v>
      </c>
    </row>
    <row r="74" spans="1:56">
      <c r="A74" s="1" t="s">
        <v>20</v>
      </c>
      <c r="B74" s="1" t="s">
        <v>32</v>
      </c>
      <c r="C74" s="1" t="s">
        <v>22</v>
      </c>
      <c r="D74" s="1" t="s">
        <v>33</v>
      </c>
      <c r="E74" s="51" t="s">
        <v>107</v>
      </c>
      <c r="F74" s="51" t="s">
        <v>108</v>
      </c>
      <c r="G74" s="51" t="s">
        <v>109</v>
      </c>
      <c r="H74" s="51" t="s">
        <v>146</v>
      </c>
      <c r="I74" s="1" t="s">
        <v>147</v>
      </c>
      <c r="J74" s="51" t="s">
        <v>148</v>
      </c>
      <c r="K74" s="51" t="s">
        <v>112</v>
      </c>
      <c r="L74" s="51" t="s">
        <v>112</v>
      </c>
      <c r="M74" s="1">
        <v>1600314</v>
      </c>
      <c r="N74" s="56" t="s">
        <v>360</v>
      </c>
      <c r="O74" s="55">
        <f t="shared" si="68"/>
        <v>41214</v>
      </c>
      <c r="P74" s="55">
        <f t="shared" si="69"/>
        <v>41820</v>
      </c>
      <c r="Q74" s="51">
        <v>1200</v>
      </c>
      <c r="S74" s="51">
        <v>2.5</v>
      </c>
      <c r="U74" s="1">
        <f t="shared" si="38"/>
        <v>607</v>
      </c>
      <c r="V74" s="31">
        <f t="shared" si="39"/>
        <v>1.9769357495881383</v>
      </c>
      <c r="W74" s="31">
        <f t="shared" si="40"/>
        <v>721.58154859967044</v>
      </c>
      <c r="X74" s="31">
        <f t="shared" si="41"/>
        <v>0.90197693574958804</v>
      </c>
      <c r="AA74" s="32">
        <f t="shared" si="42"/>
        <v>42552</v>
      </c>
      <c r="AB74" s="32">
        <f t="shared" si="43"/>
        <v>42735</v>
      </c>
      <c r="AC74" s="50">
        <v>1</v>
      </c>
      <c r="AD74" s="1">
        <f t="shared" si="44"/>
        <v>0</v>
      </c>
      <c r="AE74" s="1">
        <f t="shared" si="45"/>
        <v>0</v>
      </c>
      <c r="AF74" s="1">
        <f t="shared" si="46"/>
        <v>0</v>
      </c>
      <c r="AG74" s="1">
        <f t="shared" si="47"/>
        <v>0</v>
      </c>
      <c r="AH74" s="1">
        <f t="shared" si="48"/>
        <v>92</v>
      </c>
      <c r="AI74" s="23">
        <f t="shared" si="49"/>
        <v>0.5</v>
      </c>
      <c r="AJ74" s="23">
        <f t="shared" si="50"/>
        <v>0.45098846787479402</v>
      </c>
      <c r="AK74" s="23">
        <f t="shared" si="51"/>
        <v>0.22549423393739701</v>
      </c>
      <c r="AL74" s="23">
        <f t="shared" si="52"/>
        <v>0.56373558484349251</v>
      </c>
      <c r="AM74" s="23">
        <f t="shared" si="53"/>
        <v>0.28186779242174625</v>
      </c>
      <c r="AN74" s="23">
        <f t="shared" si="54"/>
        <v>0.84560337726523871</v>
      </c>
      <c r="AQ74" s="32">
        <f t="shared" si="55"/>
        <v>42736</v>
      </c>
      <c r="AR74" s="32">
        <f t="shared" si="56"/>
        <v>42916</v>
      </c>
      <c r="AS74" s="56">
        <v>0</v>
      </c>
      <c r="AT74" s="1">
        <f t="shared" si="57"/>
        <v>0</v>
      </c>
      <c r="AU74" s="1">
        <f t="shared" si="58"/>
        <v>0</v>
      </c>
      <c r="AV74" s="1">
        <f t="shared" si="59"/>
        <v>0</v>
      </c>
      <c r="AW74" s="1">
        <f t="shared" si="60"/>
        <v>0</v>
      </c>
      <c r="AX74" s="1">
        <f t="shared" si="61"/>
        <v>90.5</v>
      </c>
      <c r="AY74" s="23">
        <f t="shared" si="62"/>
        <v>0.5</v>
      </c>
      <c r="AZ74" s="23">
        <f t="shared" si="63"/>
        <v>0.45098846787479402</v>
      </c>
      <c r="BA74" s="23">
        <f t="shared" si="64"/>
        <v>0</v>
      </c>
      <c r="BB74" s="23">
        <f t="shared" si="65"/>
        <v>0</v>
      </c>
      <c r="BC74" s="23">
        <f t="shared" si="66"/>
        <v>0</v>
      </c>
      <c r="BD74" s="23">
        <f t="shared" si="67"/>
        <v>0</v>
      </c>
    </row>
    <row r="75" spans="1:56">
      <c r="A75" s="1" t="s">
        <v>20</v>
      </c>
      <c r="B75" s="1" t="s">
        <v>32</v>
      </c>
      <c r="C75" s="1" t="s">
        <v>22</v>
      </c>
      <c r="D75" s="1" t="s">
        <v>33</v>
      </c>
      <c r="E75" s="51" t="s">
        <v>107</v>
      </c>
      <c r="F75" s="51" t="s">
        <v>108</v>
      </c>
      <c r="G75" s="51" t="s">
        <v>109</v>
      </c>
      <c r="H75" s="51" t="s">
        <v>277</v>
      </c>
      <c r="I75" s="1" t="s">
        <v>278</v>
      </c>
      <c r="J75" s="51" t="s">
        <v>112</v>
      </c>
      <c r="K75" s="51" t="s">
        <v>112</v>
      </c>
      <c r="L75" s="51" t="s">
        <v>112</v>
      </c>
      <c r="M75" s="1">
        <v>1600315</v>
      </c>
      <c r="N75" s="50" t="s">
        <v>361</v>
      </c>
      <c r="O75" s="55">
        <f t="shared" si="68"/>
        <v>41214</v>
      </c>
      <c r="P75" s="55">
        <f t="shared" si="69"/>
        <v>41820</v>
      </c>
      <c r="Q75" s="51">
        <v>1000</v>
      </c>
      <c r="S75" s="51">
        <v>1.5</v>
      </c>
      <c r="U75" s="1">
        <f t="shared" si="38"/>
        <v>607</v>
      </c>
      <c r="V75" s="31">
        <f t="shared" si="39"/>
        <v>1.6474464579901154</v>
      </c>
      <c r="W75" s="31">
        <f t="shared" si="40"/>
        <v>601.31795716639215</v>
      </c>
      <c r="X75" s="31">
        <f t="shared" si="41"/>
        <v>0.7516474464579902</v>
      </c>
      <c r="AA75" s="32">
        <f t="shared" si="42"/>
        <v>42552</v>
      </c>
      <c r="AB75" s="32">
        <f t="shared" si="43"/>
        <v>42735</v>
      </c>
      <c r="AC75" s="50">
        <v>11</v>
      </c>
      <c r="AD75" s="1">
        <f t="shared" si="44"/>
        <v>0</v>
      </c>
      <c r="AE75" s="1">
        <f t="shared" si="45"/>
        <v>0</v>
      </c>
      <c r="AF75" s="1">
        <f t="shared" si="46"/>
        <v>0</v>
      </c>
      <c r="AG75" s="1">
        <f t="shared" si="47"/>
        <v>0</v>
      </c>
      <c r="AH75" s="1">
        <f t="shared" si="48"/>
        <v>92</v>
      </c>
      <c r="AI75" s="23">
        <f t="shared" si="49"/>
        <v>0.5</v>
      </c>
      <c r="AJ75" s="23">
        <f t="shared" si="50"/>
        <v>0.3758237232289951</v>
      </c>
      <c r="AK75" s="23">
        <f t="shared" si="51"/>
        <v>2.0670304777594732</v>
      </c>
      <c r="AL75" s="23">
        <f t="shared" si="52"/>
        <v>3.1005457166392096</v>
      </c>
      <c r="AM75" s="23">
        <f t="shared" si="53"/>
        <v>0</v>
      </c>
      <c r="AN75" s="23">
        <f t="shared" si="54"/>
        <v>3.1005457166392096</v>
      </c>
      <c r="AQ75" s="32">
        <f t="shared" si="55"/>
        <v>42736</v>
      </c>
      <c r="AR75" s="32">
        <f t="shared" si="56"/>
        <v>42916</v>
      </c>
      <c r="AS75" s="50">
        <v>8</v>
      </c>
      <c r="AT75" s="1">
        <f t="shared" si="57"/>
        <v>0</v>
      </c>
      <c r="AU75" s="1">
        <f t="shared" si="58"/>
        <v>0</v>
      </c>
      <c r="AV75" s="1">
        <f t="shared" si="59"/>
        <v>0</v>
      </c>
      <c r="AW75" s="1">
        <f t="shared" si="60"/>
        <v>0</v>
      </c>
      <c r="AX75" s="1">
        <f t="shared" si="61"/>
        <v>90.5</v>
      </c>
      <c r="AY75" s="23">
        <f t="shared" si="62"/>
        <v>0.5</v>
      </c>
      <c r="AZ75" s="23">
        <f t="shared" si="63"/>
        <v>0.3758237232289951</v>
      </c>
      <c r="BA75" s="23">
        <f t="shared" si="64"/>
        <v>1.5032948929159804</v>
      </c>
      <c r="BB75" s="23">
        <f t="shared" si="65"/>
        <v>2.2549423393739705</v>
      </c>
      <c r="BC75" s="23">
        <f t="shared" si="66"/>
        <v>0</v>
      </c>
      <c r="BD75" s="23">
        <f t="shared" si="67"/>
        <v>2.2549423393739705</v>
      </c>
    </row>
    <row r="76" spans="1:56">
      <c r="A76" s="1" t="s">
        <v>20</v>
      </c>
      <c r="B76" s="1" t="s">
        <v>32</v>
      </c>
      <c r="C76" s="1" t="s">
        <v>22</v>
      </c>
      <c r="D76" s="1" t="s">
        <v>33</v>
      </c>
      <c r="E76" s="51" t="s">
        <v>107</v>
      </c>
      <c r="F76" s="51" t="s">
        <v>108</v>
      </c>
      <c r="G76" s="51" t="s">
        <v>109</v>
      </c>
      <c r="H76" s="51" t="s">
        <v>124</v>
      </c>
      <c r="I76" s="1" t="s">
        <v>125</v>
      </c>
      <c r="J76" s="51" t="s">
        <v>112</v>
      </c>
      <c r="K76" s="51" t="s">
        <v>112</v>
      </c>
      <c r="L76" s="51" t="s">
        <v>112</v>
      </c>
      <c r="M76" s="1">
        <v>1600316</v>
      </c>
      <c r="N76" s="50" t="s">
        <v>362</v>
      </c>
      <c r="O76" s="55">
        <f t="shared" si="68"/>
        <v>41214</v>
      </c>
      <c r="P76" s="55">
        <f t="shared" si="69"/>
        <v>41820</v>
      </c>
      <c r="Q76" s="51">
        <v>1200</v>
      </c>
      <c r="S76" s="51">
        <v>2.5</v>
      </c>
      <c r="U76" s="1">
        <f t="shared" si="38"/>
        <v>607</v>
      </c>
      <c r="V76" s="31">
        <f t="shared" si="39"/>
        <v>1.9769357495881383</v>
      </c>
      <c r="W76" s="31">
        <f t="shared" si="40"/>
        <v>721.58154859967044</v>
      </c>
      <c r="X76" s="31">
        <f t="shared" si="41"/>
        <v>0.90197693574958804</v>
      </c>
      <c r="AA76" s="32">
        <f t="shared" si="42"/>
        <v>42552</v>
      </c>
      <c r="AB76" s="32">
        <f t="shared" si="43"/>
        <v>42735</v>
      </c>
      <c r="AC76" s="50">
        <v>5</v>
      </c>
      <c r="AD76" s="1">
        <f t="shared" si="44"/>
        <v>0</v>
      </c>
      <c r="AE76" s="1">
        <f t="shared" si="45"/>
        <v>0</v>
      </c>
      <c r="AF76" s="1">
        <f t="shared" si="46"/>
        <v>0</v>
      </c>
      <c r="AG76" s="1">
        <f t="shared" si="47"/>
        <v>0</v>
      </c>
      <c r="AH76" s="1">
        <f t="shared" si="48"/>
        <v>92</v>
      </c>
      <c r="AI76" s="23">
        <f t="shared" si="49"/>
        <v>0.5</v>
      </c>
      <c r="AJ76" s="23">
        <f t="shared" si="50"/>
        <v>0.45098846787479402</v>
      </c>
      <c r="AK76" s="23">
        <f t="shared" si="51"/>
        <v>1.127471169686985</v>
      </c>
      <c r="AL76" s="23">
        <f t="shared" si="52"/>
        <v>2.8186779242174627</v>
      </c>
      <c r="AM76" s="23">
        <f t="shared" si="53"/>
        <v>0</v>
      </c>
      <c r="AN76" s="23">
        <f t="shared" si="54"/>
        <v>2.8186779242174627</v>
      </c>
      <c r="AQ76" s="32">
        <f t="shared" si="55"/>
        <v>42736</v>
      </c>
      <c r="AR76" s="32">
        <f t="shared" si="56"/>
        <v>42916</v>
      </c>
      <c r="AS76" s="50">
        <v>5</v>
      </c>
      <c r="AT76" s="1">
        <f t="shared" si="57"/>
        <v>0</v>
      </c>
      <c r="AU76" s="1">
        <f t="shared" si="58"/>
        <v>0</v>
      </c>
      <c r="AV76" s="1">
        <f t="shared" si="59"/>
        <v>0</v>
      </c>
      <c r="AW76" s="1">
        <f t="shared" si="60"/>
        <v>0</v>
      </c>
      <c r="AX76" s="1">
        <f t="shared" si="61"/>
        <v>90.5</v>
      </c>
      <c r="AY76" s="23">
        <f t="shared" si="62"/>
        <v>0.5</v>
      </c>
      <c r="AZ76" s="23">
        <f t="shared" si="63"/>
        <v>0.45098846787479402</v>
      </c>
      <c r="BA76" s="23">
        <f t="shared" si="64"/>
        <v>1.127471169686985</v>
      </c>
      <c r="BB76" s="23">
        <f t="shared" si="65"/>
        <v>2.8186779242174627</v>
      </c>
      <c r="BC76" s="23">
        <f t="shared" si="66"/>
        <v>0</v>
      </c>
      <c r="BD76" s="23">
        <f t="shared" si="67"/>
        <v>2.8186779242174627</v>
      </c>
    </row>
    <row r="77" spans="1:56">
      <c r="A77" s="1" t="s">
        <v>20</v>
      </c>
      <c r="B77" s="1" t="s">
        <v>32</v>
      </c>
      <c r="C77" s="1" t="s">
        <v>22</v>
      </c>
      <c r="D77" s="1" t="s">
        <v>33</v>
      </c>
      <c r="E77" s="51" t="s">
        <v>107</v>
      </c>
      <c r="F77" s="51" t="s">
        <v>108</v>
      </c>
      <c r="G77" s="51" t="s">
        <v>109</v>
      </c>
      <c r="H77" s="51" t="s">
        <v>273</v>
      </c>
      <c r="I77" s="1" t="s">
        <v>128</v>
      </c>
      <c r="J77" s="51" t="s">
        <v>112</v>
      </c>
      <c r="K77" s="51" t="s">
        <v>112</v>
      </c>
      <c r="L77" s="51" t="s">
        <v>112</v>
      </c>
      <c r="M77" s="1">
        <v>1600317</v>
      </c>
      <c r="N77" s="50" t="s">
        <v>363</v>
      </c>
      <c r="O77" s="55">
        <f t="shared" si="68"/>
        <v>41214</v>
      </c>
      <c r="P77" s="55">
        <f t="shared" si="69"/>
        <v>41820</v>
      </c>
      <c r="Q77" s="51">
        <v>1200</v>
      </c>
      <c r="S77" s="51">
        <v>2.5</v>
      </c>
      <c r="U77" s="1">
        <f t="shared" si="38"/>
        <v>607</v>
      </c>
      <c r="V77" s="31">
        <f t="shared" si="39"/>
        <v>1.9769357495881383</v>
      </c>
      <c r="W77" s="31">
        <f t="shared" si="40"/>
        <v>721.58154859967044</v>
      </c>
      <c r="X77" s="31">
        <f t="shared" si="41"/>
        <v>0.90197693574958804</v>
      </c>
      <c r="AA77" s="32">
        <f t="shared" si="42"/>
        <v>42552</v>
      </c>
      <c r="AB77" s="32">
        <f t="shared" si="43"/>
        <v>42735</v>
      </c>
      <c r="AC77" s="50">
        <v>4</v>
      </c>
      <c r="AD77" s="1">
        <f t="shared" si="44"/>
        <v>0</v>
      </c>
      <c r="AE77" s="1">
        <f t="shared" si="45"/>
        <v>0</v>
      </c>
      <c r="AF77" s="1">
        <f t="shared" si="46"/>
        <v>0</v>
      </c>
      <c r="AG77" s="1">
        <f t="shared" si="47"/>
        <v>0</v>
      </c>
      <c r="AH77" s="1">
        <f t="shared" si="48"/>
        <v>92</v>
      </c>
      <c r="AI77" s="23">
        <f t="shared" si="49"/>
        <v>0.5</v>
      </c>
      <c r="AJ77" s="23">
        <f t="shared" si="50"/>
        <v>0.45098846787479402</v>
      </c>
      <c r="AK77" s="23">
        <f t="shared" si="51"/>
        <v>0.90197693574958804</v>
      </c>
      <c r="AL77" s="23">
        <f t="shared" si="52"/>
        <v>2.25494233937397</v>
      </c>
      <c r="AM77" s="23">
        <f t="shared" si="53"/>
        <v>0</v>
      </c>
      <c r="AN77" s="23">
        <f t="shared" si="54"/>
        <v>2.25494233937397</v>
      </c>
      <c r="AQ77" s="32">
        <f t="shared" si="55"/>
        <v>42736</v>
      </c>
      <c r="AR77" s="32">
        <f t="shared" si="56"/>
        <v>42916</v>
      </c>
      <c r="AS77" s="50">
        <v>3</v>
      </c>
      <c r="AT77" s="1">
        <f t="shared" si="57"/>
        <v>0</v>
      </c>
      <c r="AU77" s="1">
        <f t="shared" si="58"/>
        <v>0</v>
      </c>
      <c r="AV77" s="1">
        <f t="shared" si="59"/>
        <v>0</v>
      </c>
      <c r="AW77" s="1">
        <f t="shared" si="60"/>
        <v>0</v>
      </c>
      <c r="AX77" s="1">
        <f t="shared" si="61"/>
        <v>90.5</v>
      </c>
      <c r="AY77" s="23">
        <f t="shared" si="62"/>
        <v>0.5</v>
      </c>
      <c r="AZ77" s="23">
        <f t="shared" si="63"/>
        <v>0.45098846787479402</v>
      </c>
      <c r="BA77" s="23">
        <f t="shared" si="64"/>
        <v>0.67648270181219106</v>
      </c>
      <c r="BB77" s="23">
        <f t="shared" si="65"/>
        <v>1.6912067545304776</v>
      </c>
      <c r="BC77" s="23">
        <f t="shared" si="66"/>
        <v>0</v>
      </c>
      <c r="BD77" s="23">
        <f t="shared" si="67"/>
        <v>1.6912067545304776</v>
      </c>
    </row>
    <row r="78" spans="1:56">
      <c r="A78" s="1" t="s">
        <v>20</v>
      </c>
      <c r="B78" s="1" t="s">
        <v>32</v>
      </c>
      <c r="C78" s="1" t="s">
        <v>22</v>
      </c>
      <c r="D78" s="1" t="s">
        <v>33</v>
      </c>
      <c r="E78" s="51" t="s">
        <v>107</v>
      </c>
      <c r="F78" s="51" t="s">
        <v>108</v>
      </c>
      <c r="G78" s="51" t="s">
        <v>109</v>
      </c>
      <c r="H78" s="51" t="s">
        <v>275</v>
      </c>
      <c r="I78" s="1" t="s">
        <v>128</v>
      </c>
      <c r="J78" s="51" t="s">
        <v>112</v>
      </c>
      <c r="K78" s="51" t="s">
        <v>112</v>
      </c>
      <c r="L78" s="51" t="s">
        <v>112</v>
      </c>
      <c r="M78" s="1">
        <v>1600318</v>
      </c>
      <c r="N78" s="50" t="s">
        <v>364</v>
      </c>
      <c r="O78" s="55">
        <f t="shared" si="68"/>
        <v>41214</v>
      </c>
      <c r="P78" s="55">
        <f t="shared" si="69"/>
        <v>41820</v>
      </c>
      <c r="Q78" s="51">
        <v>1200</v>
      </c>
      <c r="S78" s="51">
        <v>2.5</v>
      </c>
      <c r="U78" s="1">
        <f t="shared" si="38"/>
        <v>607</v>
      </c>
      <c r="V78" s="31">
        <f t="shared" si="39"/>
        <v>1.9769357495881383</v>
      </c>
      <c r="W78" s="31">
        <f t="shared" si="40"/>
        <v>721.58154859967044</v>
      </c>
      <c r="X78" s="31">
        <f t="shared" si="41"/>
        <v>0.90197693574958804</v>
      </c>
      <c r="AA78" s="32">
        <f t="shared" si="42"/>
        <v>42552</v>
      </c>
      <c r="AB78" s="32">
        <f t="shared" si="43"/>
        <v>42735</v>
      </c>
      <c r="AC78" s="50">
        <v>6</v>
      </c>
      <c r="AD78" s="1">
        <f t="shared" si="44"/>
        <v>0</v>
      </c>
      <c r="AE78" s="1">
        <f t="shared" si="45"/>
        <v>0</v>
      </c>
      <c r="AF78" s="1">
        <f t="shared" si="46"/>
        <v>0</v>
      </c>
      <c r="AG78" s="1">
        <f t="shared" si="47"/>
        <v>0</v>
      </c>
      <c r="AH78" s="1">
        <f t="shared" si="48"/>
        <v>92</v>
      </c>
      <c r="AI78" s="23">
        <f t="shared" si="49"/>
        <v>0.5</v>
      </c>
      <c r="AJ78" s="23">
        <f t="shared" si="50"/>
        <v>0.45098846787479402</v>
      </c>
      <c r="AK78" s="23">
        <f t="shared" si="51"/>
        <v>1.3529654036243821</v>
      </c>
      <c r="AL78" s="23">
        <f t="shared" si="52"/>
        <v>3.3824135090609553</v>
      </c>
      <c r="AM78" s="23">
        <f t="shared" si="53"/>
        <v>0</v>
      </c>
      <c r="AN78" s="23">
        <f t="shared" si="54"/>
        <v>3.3824135090609553</v>
      </c>
      <c r="AQ78" s="32">
        <f t="shared" si="55"/>
        <v>42736</v>
      </c>
      <c r="AR78" s="32">
        <f t="shared" si="56"/>
        <v>42916</v>
      </c>
      <c r="AS78" s="50">
        <v>5</v>
      </c>
      <c r="AT78" s="1">
        <f t="shared" si="57"/>
        <v>0</v>
      </c>
      <c r="AU78" s="1">
        <f t="shared" si="58"/>
        <v>0</v>
      </c>
      <c r="AV78" s="1">
        <f t="shared" si="59"/>
        <v>0</v>
      </c>
      <c r="AW78" s="1">
        <f t="shared" si="60"/>
        <v>0</v>
      </c>
      <c r="AX78" s="1">
        <f t="shared" si="61"/>
        <v>90.5</v>
      </c>
      <c r="AY78" s="23">
        <f t="shared" si="62"/>
        <v>0.5</v>
      </c>
      <c r="AZ78" s="23">
        <f t="shared" si="63"/>
        <v>0.45098846787479402</v>
      </c>
      <c r="BA78" s="23">
        <f t="shared" si="64"/>
        <v>1.127471169686985</v>
      </c>
      <c r="BB78" s="23">
        <f t="shared" si="65"/>
        <v>2.8186779242174627</v>
      </c>
      <c r="BC78" s="23">
        <f t="shared" si="66"/>
        <v>0</v>
      </c>
      <c r="BD78" s="23">
        <f t="shared" si="67"/>
        <v>2.8186779242174627</v>
      </c>
    </row>
    <row r="79" spans="1:56">
      <c r="A79" s="1" t="s">
        <v>20</v>
      </c>
      <c r="B79" s="1" t="s">
        <v>32</v>
      </c>
      <c r="C79" s="1" t="s">
        <v>22</v>
      </c>
      <c r="D79" s="1" t="s">
        <v>33</v>
      </c>
      <c r="E79" s="51" t="s">
        <v>107</v>
      </c>
      <c r="F79" s="51" t="s">
        <v>108</v>
      </c>
      <c r="G79" s="51" t="s">
        <v>109</v>
      </c>
      <c r="H79" s="51" t="s">
        <v>290</v>
      </c>
      <c r="I79" s="1" t="s">
        <v>125</v>
      </c>
      <c r="J79" s="51" t="s">
        <v>112</v>
      </c>
      <c r="K79" s="51" t="s">
        <v>112</v>
      </c>
      <c r="L79" s="51" t="s">
        <v>112</v>
      </c>
      <c r="M79" s="1">
        <v>1600319</v>
      </c>
      <c r="N79" s="50" t="s">
        <v>365</v>
      </c>
      <c r="O79" s="55">
        <f t="shared" si="68"/>
        <v>41214</v>
      </c>
      <c r="P79" s="55">
        <f t="shared" si="69"/>
        <v>41820</v>
      </c>
      <c r="Q79" s="51">
        <v>1476</v>
      </c>
      <c r="S79" s="51">
        <v>2.5</v>
      </c>
      <c r="U79" s="1">
        <f t="shared" si="38"/>
        <v>607</v>
      </c>
      <c r="V79" s="31">
        <f t="shared" si="39"/>
        <v>2.4316309719934104</v>
      </c>
      <c r="W79" s="31">
        <f t="shared" si="40"/>
        <v>887.54530477759477</v>
      </c>
      <c r="X79" s="31">
        <f t="shared" si="41"/>
        <v>1.1094316309719934</v>
      </c>
      <c r="AA79" s="32">
        <f t="shared" si="42"/>
        <v>42552</v>
      </c>
      <c r="AB79" s="32">
        <f t="shared" si="43"/>
        <v>42735</v>
      </c>
      <c r="AC79" s="50">
        <v>2</v>
      </c>
      <c r="AD79" s="1">
        <f t="shared" si="44"/>
        <v>0</v>
      </c>
      <c r="AE79" s="1">
        <f t="shared" si="45"/>
        <v>0</v>
      </c>
      <c r="AF79" s="1">
        <f t="shared" si="46"/>
        <v>0</v>
      </c>
      <c r="AG79" s="1">
        <f t="shared" si="47"/>
        <v>0</v>
      </c>
      <c r="AH79" s="1">
        <f t="shared" si="48"/>
        <v>92</v>
      </c>
      <c r="AI79" s="23">
        <f t="shared" si="49"/>
        <v>0.5</v>
      </c>
      <c r="AJ79" s="23">
        <f t="shared" si="50"/>
        <v>0.55471581548599669</v>
      </c>
      <c r="AK79" s="23">
        <f t="shared" si="51"/>
        <v>0.55471581548599669</v>
      </c>
      <c r="AL79" s="23">
        <f t="shared" si="52"/>
        <v>1.3867895387149918</v>
      </c>
      <c r="AM79" s="23">
        <f t="shared" si="53"/>
        <v>0</v>
      </c>
      <c r="AN79" s="23">
        <f t="shared" si="54"/>
        <v>1.3867895387149918</v>
      </c>
      <c r="AQ79" s="32">
        <f t="shared" si="55"/>
        <v>42736</v>
      </c>
      <c r="AR79" s="32">
        <f t="shared" si="56"/>
        <v>42916</v>
      </c>
      <c r="AS79" s="50">
        <v>1</v>
      </c>
      <c r="AT79" s="1">
        <f t="shared" si="57"/>
        <v>0</v>
      </c>
      <c r="AU79" s="1">
        <f t="shared" si="58"/>
        <v>0</v>
      </c>
      <c r="AV79" s="1">
        <f t="shared" si="59"/>
        <v>0</v>
      </c>
      <c r="AW79" s="1">
        <f t="shared" si="60"/>
        <v>0</v>
      </c>
      <c r="AX79" s="1">
        <f t="shared" si="61"/>
        <v>90.5</v>
      </c>
      <c r="AY79" s="23">
        <f t="shared" si="62"/>
        <v>0.5</v>
      </c>
      <c r="AZ79" s="23">
        <f t="shared" si="63"/>
        <v>0.55471581548599669</v>
      </c>
      <c r="BA79" s="23">
        <f t="shared" si="64"/>
        <v>0.27735790774299834</v>
      </c>
      <c r="BB79" s="23">
        <f t="shared" si="65"/>
        <v>0.69339476935749589</v>
      </c>
      <c r="BC79" s="23">
        <f t="shared" si="66"/>
        <v>0</v>
      </c>
      <c r="BD79" s="23">
        <f t="shared" si="67"/>
        <v>0.69339476935749589</v>
      </c>
    </row>
    <row r="80" spans="1:56">
      <c r="A80" s="1" t="s">
        <v>20</v>
      </c>
      <c r="B80" s="1" t="s">
        <v>32</v>
      </c>
      <c r="C80" s="1" t="s">
        <v>22</v>
      </c>
      <c r="D80" s="1" t="s">
        <v>33</v>
      </c>
      <c r="E80" s="51" t="s">
        <v>107</v>
      </c>
      <c r="F80" s="51" t="s">
        <v>108</v>
      </c>
      <c r="G80" s="51" t="s">
        <v>109</v>
      </c>
      <c r="H80" s="51" t="s">
        <v>213</v>
      </c>
      <c r="I80" s="1" t="s">
        <v>214</v>
      </c>
      <c r="J80" s="51" t="s">
        <v>112</v>
      </c>
      <c r="K80" s="51" t="s">
        <v>112</v>
      </c>
      <c r="L80" s="51" t="s">
        <v>112</v>
      </c>
      <c r="M80" s="1">
        <v>1600320</v>
      </c>
      <c r="N80" s="50" t="s">
        <v>366</v>
      </c>
      <c r="O80" s="55">
        <f t="shared" si="68"/>
        <v>41214</v>
      </c>
      <c r="P80" s="55">
        <f>DATE(2014,12,30)</f>
        <v>42003</v>
      </c>
      <c r="Q80" s="51">
        <v>950</v>
      </c>
      <c r="S80" s="51">
        <v>1.5</v>
      </c>
      <c r="U80" s="1">
        <f t="shared" si="38"/>
        <v>790</v>
      </c>
      <c r="V80" s="31">
        <f t="shared" si="39"/>
        <v>1.2025316455696202</v>
      </c>
      <c r="W80" s="31">
        <f t="shared" si="40"/>
        <v>438.92405063291136</v>
      </c>
      <c r="X80" s="31">
        <f t="shared" si="41"/>
        <v>0.54865506329113922</v>
      </c>
      <c r="AA80" s="32">
        <f t="shared" si="42"/>
        <v>42552</v>
      </c>
      <c r="AB80" s="32">
        <f t="shared" si="43"/>
        <v>42735</v>
      </c>
      <c r="AC80" s="50">
        <v>12</v>
      </c>
      <c r="AD80" s="1">
        <f t="shared" si="44"/>
        <v>0</v>
      </c>
      <c r="AE80" s="1">
        <f t="shared" si="45"/>
        <v>0</v>
      </c>
      <c r="AF80" s="1">
        <f t="shared" si="46"/>
        <v>0</v>
      </c>
      <c r="AG80" s="1">
        <f t="shared" si="47"/>
        <v>0</v>
      </c>
      <c r="AH80" s="1">
        <f t="shared" si="48"/>
        <v>92</v>
      </c>
      <c r="AI80" s="23">
        <f t="shared" si="49"/>
        <v>0.5</v>
      </c>
      <c r="AJ80" s="23">
        <f t="shared" si="50"/>
        <v>0.27432753164556961</v>
      </c>
      <c r="AK80" s="23">
        <f t="shared" si="51"/>
        <v>1.6459651898734178</v>
      </c>
      <c r="AL80" s="23">
        <f t="shared" si="52"/>
        <v>2.4689477848101267</v>
      </c>
      <c r="AM80" s="23">
        <f t="shared" si="53"/>
        <v>0</v>
      </c>
      <c r="AN80" s="23">
        <f t="shared" si="54"/>
        <v>2.4689477848101267</v>
      </c>
      <c r="AQ80" s="32">
        <f t="shared" si="55"/>
        <v>42736</v>
      </c>
      <c r="AR80" s="32">
        <f t="shared" si="56"/>
        <v>42916</v>
      </c>
      <c r="AS80" s="50">
        <v>12</v>
      </c>
      <c r="AT80" s="1">
        <f t="shared" si="57"/>
        <v>0</v>
      </c>
      <c r="AU80" s="1">
        <f t="shared" si="58"/>
        <v>0</v>
      </c>
      <c r="AV80" s="1">
        <f t="shared" si="59"/>
        <v>0</v>
      </c>
      <c r="AW80" s="1">
        <f t="shared" si="60"/>
        <v>0</v>
      </c>
      <c r="AX80" s="1">
        <f t="shared" si="61"/>
        <v>90.5</v>
      </c>
      <c r="AY80" s="23">
        <f t="shared" si="62"/>
        <v>0.5</v>
      </c>
      <c r="AZ80" s="23">
        <f t="shared" si="63"/>
        <v>0.27432753164556961</v>
      </c>
      <c r="BA80" s="23">
        <f t="shared" si="64"/>
        <v>1.6459651898734178</v>
      </c>
      <c r="BB80" s="23">
        <f t="shared" si="65"/>
        <v>2.4689477848101267</v>
      </c>
      <c r="BC80" s="23">
        <f t="shared" si="66"/>
        <v>0</v>
      </c>
      <c r="BD80" s="23">
        <f t="shared" si="67"/>
        <v>2.4689477848101267</v>
      </c>
    </row>
    <row r="81" spans="1:56">
      <c r="A81" s="1" t="s">
        <v>20</v>
      </c>
      <c r="B81" s="1" t="s">
        <v>32</v>
      </c>
      <c r="C81" s="1" t="s">
        <v>22</v>
      </c>
      <c r="D81" s="1" t="s">
        <v>33</v>
      </c>
      <c r="E81" s="51" t="s">
        <v>107</v>
      </c>
      <c r="F81" s="51" t="s">
        <v>108</v>
      </c>
      <c r="G81" s="51" t="s">
        <v>109</v>
      </c>
      <c r="H81" s="51" t="s">
        <v>110</v>
      </c>
      <c r="I81" s="1" t="s">
        <v>111</v>
      </c>
      <c r="J81" s="51" t="s">
        <v>112</v>
      </c>
      <c r="K81" s="51" t="s">
        <v>112</v>
      </c>
      <c r="L81" s="51" t="s">
        <v>112</v>
      </c>
      <c r="M81" s="1">
        <v>1600322</v>
      </c>
      <c r="N81" s="50" t="s">
        <v>367</v>
      </c>
      <c r="O81" s="55">
        <f t="shared" si="68"/>
        <v>41214</v>
      </c>
      <c r="P81" s="55">
        <f>DATE(2014,6,30)</f>
        <v>41820</v>
      </c>
      <c r="Q81" s="51">
        <v>1080</v>
      </c>
      <c r="S81" s="51">
        <v>2</v>
      </c>
      <c r="U81" s="1">
        <f t="shared" si="38"/>
        <v>607</v>
      </c>
      <c r="V81" s="31">
        <f t="shared" si="39"/>
        <v>1.7792421746293245</v>
      </c>
      <c r="W81" s="31">
        <f t="shared" si="40"/>
        <v>649.42339373970344</v>
      </c>
      <c r="X81" s="31">
        <f t="shared" si="41"/>
        <v>0.81177924217462927</v>
      </c>
      <c r="AA81" s="32">
        <f t="shared" si="42"/>
        <v>42552</v>
      </c>
      <c r="AB81" s="32">
        <f t="shared" si="43"/>
        <v>42735</v>
      </c>
      <c r="AC81" s="50">
        <v>9</v>
      </c>
      <c r="AD81" s="1">
        <f t="shared" si="44"/>
        <v>0</v>
      </c>
      <c r="AE81" s="1">
        <f t="shared" si="45"/>
        <v>0</v>
      </c>
      <c r="AF81" s="1">
        <f t="shared" si="46"/>
        <v>0</v>
      </c>
      <c r="AG81" s="1">
        <f t="shared" si="47"/>
        <v>0</v>
      </c>
      <c r="AH81" s="1">
        <f t="shared" si="48"/>
        <v>92</v>
      </c>
      <c r="AI81" s="23">
        <f t="shared" si="49"/>
        <v>0.5</v>
      </c>
      <c r="AJ81" s="23">
        <f t="shared" si="50"/>
        <v>0.40588962108731463</v>
      </c>
      <c r="AK81" s="23">
        <f t="shared" si="51"/>
        <v>1.8265032948929159</v>
      </c>
      <c r="AL81" s="23">
        <f t="shared" si="52"/>
        <v>3.6530065897858317</v>
      </c>
      <c r="AM81" s="23">
        <f t="shared" si="53"/>
        <v>0</v>
      </c>
      <c r="AN81" s="23">
        <f t="shared" si="54"/>
        <v>3.6530065897858317</v>
      </c>
      <c r="AQ81" s="32">
        <f t="shared" si="55"/>
        <v>42736</v>
      </c>
      <c r="AR81" s="32">
        <f t="shared" si="56"/>
        <v>42916</v>
      </c>
      <c r="AS81" s="50">
        <v>7</v>
      </c>
      <c r="AT81" s="1">
        <f t="shared" si="57"/>
        <v>0</v>
      </c>
      <c r="AU81" s="1">
        <f t="shared" si="58"/>
        <v>0</v>
      </c>
      <c r="AV81" s="1">
        <f t="shared" si="59"/>
        <v>0</v>
      </c>
      <c r="AW81" s="1">
        <f t="shared" si="60"/>
        <v>0</v>
      </c>
      <c r="AX81" s="1">
        <f t="shared" si="61"/>
        <v>90.5</v>
      </c>
      <c r="AY81" s="23">
        <f t="shared" si="62"/>
        <v>0.5</v>
      </c>
      <c r="AZ81" s="23">
        <f t="shared" si="63"/>
        <v>0.40588962108731463</v>
      </c>
      <c r="BA81" s="23">
        <f t="shared" si="64"/>
        <v>1.4206136738056012</v>
      </c>
      <c r="BB81" s="23">
        <f t="shared" si="65"/>
        <v>2.8412273476112024</v>
      </c>
      <c r="BC81" s="23">
        <f t="shared" si="66"/>
        <v>0</v>
      </c>
      <c r="BD81" s="23">
        <f t="shared" si="67"/>
        <v>2.8412273476112024</v>
      </c>
    </row>
    <row r="82" spans="1:56">
      <c r="A82" s="1" t="s">
        <v>20</v>
      </c>
      <c r="B82" s="1" t="s">
        <v>32</v>
      </c>
      <c r="C82" s="1" t="s">
        <v>22</v>
      </c>
      <c r="D82" s="1" t="s">
        <v>33</v>
      </c>
      <c r="E82" s="51" t="s">
        <v>107</v>
      </c>
      <c r="F82" s="51" t="s">
        <v>108</v>
      </c>
      <c r="G82" s="51" t="s">
        <v>109</v>
      </c>
      <c r="H82" s="51" t="s">
        <v>127</v>
      </c>
      <c r="I82" s="1" t="s">
        <v>128</v>
      </c>
      <c r="J82" s="51" t="s">
        <v>112</v>
      </c>
      <c r="K82" s="51" t="s">
        <v>112</v>
      </c>
      <c r="L82" s="51" t="s">
        <v>112</v>
      </c>
      <c r="M82" s="1">
        <v>1600323</v>
      </c>
      <c r="N82" s="50" t="s">
        <v>368</v>
      </c>
      <c r="O82" s="55">
        <f t="shared" si="68"/>
        <v>41214</v>
      </c>
      <c r="P82" s="55">
        <f>DATE(2014,6,30)</f>
        <v>41820</v>
      </c>
      <c r="Q82" s="51">
        <v>1480</v>
      </c>
      <c r="S82" s="51">
        <v>2.5</v>
      </c>
      <c r="U82" s="1">
        <f t="shared" si="38"/>
        <v>607</v>
      </c>
      <c r="V82" s="31">
        <f t="shared" si="39"/>
        <v>2.4382207578253707</v>
      </c>
      <c r="W82" s="31">
        <f t="shared" si="40"/>
        <v>889.95057660626037</v>
      </c>
      <c r="X82" s="31">
        <f t="shared" si="41"/>
        <v>1.1124382207578254</v>
      </c>
      <c r="AA82" s="32">
        <f t="shared" si="42"/>
        <v>42552</v>
      </c>
      <c r="AB82" s="32">
        <f t="shared" si="43"/>
        <v>42735</v>
      </c>
      <c r="AC82" s="50">
        <v>4</v>
      </c>
      <c r="AD82" s="1">
        <f t="shared" si="44"/>
        <v>0</v>
      </c>
      <c r="AE82" s="1">
        <f t="shared" si="45"/>
        <v>0</v>
      </c>
      <c r="AF82" s="1">
        <f t="shared" si="46"/>
        <v>0</v>
      </c>
      <c r="AG82" s="1">
        <f t="shared" si="47"/>
        <v>0</v>
      </c>
      <c r="AH82" s="1">
        <f t="shared" si="48"/>
        <v>92</v>
      </c>
      <c r="AI82" s="23">
        <f t="shared" si="49"/>
        <v>0.5</v>
      </c>
      <c r="AJ82" s="23">
        <f t="shared" si="50"/>
        <v>0.5562191103789127</v>
      </c>
      <c r="AK82" s="23">
        <f t="shared" si="51"/>
        <v>1.1124382207578254</v>
      </c>
      <c r="AL82" s="23">
        <f t="shared" si="52"/>
        <v>2.7810955518945635</v>
      </c>
      <c r="AM82" s="23">
        <f t="shared" si="53"/>
        <v>0</v>
      </c>
      <c r="AN82" s="23">
        <f t="shared" si="54"/>
        <v>2.7810955518945635</v>
      </c>
      <c r="AQ82" s="32">
        <f t="shared" si="55"/>
        <v>42736</v>
      </c>
      <c r="AR82" s="32">
        <f t="shared" si="56"/>
        <v>42916</v>
      </c>
      <c r="AS82" s="50">
        <v>2</v>
      </c>
      <c r="AT82" s="1">
        <f t="shared" si="57"/>
        <v>0</v>
      </c>
      <c r="AU82" s="1">
        <f t="shared" si="58"/>
        <v>0</v>
      </c>
      <c r="AV82" s="1">
        <f t="shared" si="59"/>
        <v>0</v>
      </c>
      <c r="AW82" s="1">
        <f t="shared" si="60"/>
        <v>0</v>
      </c>
      <c r="AX82" s="1">
        <f t="shared" si="61"/>
        <v>90.5</v>
      </c>
      <c r="AY82" s="23">
        <f t="shared" si="62"/>
        <v>0.5</v>
      </c>
      <c r="AZ82" s="23">
        <f t="shared" si="63"/>
        <v>0.5562191103789127</v>
      </c>
      <c r="BA82" s="23">
        <f t="shared" si="64"/>
        <v>0.5562191103789127</v>
      </c>
      <c r="BB82" s="23">
        <f t="shared" si="65"/>
        <v>1.3905477759472817</v>
      </c>
      <c r="BC82" s="23">
        <f t="shared" si="66"/>
        <v>0</v>
      </c>
      <c r="BD82" s="23">
        <f t="shared" si="67"/>
        <v>1.3905477759472817</v>
      </c>
    </row>
    <row r="83" spans="1:56">
      <c r="A83" s="1" t="s">
        <v>20</v>
      </c>
      <c r="B83" s="1" t="s">
        <v>32</v>
      </c>
      <c r="C83" s="1" t="s">
        <v>22</v>
      </c>
      <c r="D83" s="1" t="s">
        <v>33</v>
      </c>
      <c r="E83" s="51" t="s">
        <v>107</v>
      </c>
      <c r="F83" s="51" t="s">
        <v>108</v>
      </c>
      <c r="G83" s="51" t="s">
        <v>109</v>
      </c>
      <c r="H83" s="51" t="s">
        <v>156</v>
      </c>
      <c r="I83" s="1" t="s">
        <v>128</v>
      </c>
      <c r="J83" s="51" t="s">
        <v>112</v>
      </c>
      <c r="K83" s="51" t="s">
        <v>112</v>
      </c>
      <c r="L83" s="51" t="s">
        <v>112</v>
      </c>
      <c r="M83" s="1">
        <v>1600324</v>
      </c>
      <c r="N83" s="50" t="s">
        <v>369</v>
      </c>
      <c r="O83" s="55">
        <f t="shared" si="68"/>
        <v>41214</v>
      </c>
      <c r="P83" s="55">
        <f>DATE(2014,12,30)</f>
        <v>42003</v>
      </c>
      <c r="Q83" s="51">
        <v>1200</v>
      </c>
      <c r="S83" s="51">
        <v>2.5</v>
      </c>
      <c r="U83" s="1">
        <f t="shared" si="38"/>
        <v>790</v>
      </c>
      <c r="V83" s="31">
        <f t="shared" si="39"/>
        <v>1.518987341772152</v>
      </c>
      <c r="W83" s="31">
        <f t="shared" si="40"/>
        <v>554.43037974683546</v>
      </c>
      <c r="X83" s="31">
        <f t="shared" si="41"/>
        <v>0.69303797468354433</v>
      </c>
      <c r="AA83" s="32">
        <f t="shared" si="42"/>
        <v>42552</v>
      </c>
      <c r="AB83" s="32">
        <f t="shared" si="43"/>
        <v>42735</v>
      </c>
      <c r="AC83" s="50">
        <v>10</v>
      </c>
      <c r="AD83" s="1">
        <f t="shared" si="44"/>
        <v>0</v>
      </c>
      <c r="AE83" s="1">
        <f t="shared" si="45"/>
        <v>0</v>
      </c>
      <c r="AF83" s="1">
        <f t="shared" si="46"/>
        <v>0</v>
      </c>
      <c r="AG83" s="1">
        <f t="shared" si="47"/>
        <v>0</v>
      </c>
      <c r="AH83" s="1">
        <f t="shared" si="48"/>
        <v>92</v>
      </c>
      <c r="AI83" s="23">
        <f t="shared" si="49"/>
        <v>0.5</v>
      </c>
      <c r="AJ83" s="23">
        <f t="shared" si="50"/>
        <v>0.34651898734177217</v>
      </c>
      <c r="AK83" s="23">
        <f t="shared" si="51"/>
        <v>1.7325949367088609</v>
      </c>
      <c r="AL83" s="23">
        <f t="shared" si="52"/>
        <v>4.331487341772152</v>
      </c>
      <c r="AM83" s="23">
        <f t="shared" si="53"/>
        <v>0</v>
      </c>
      <c r="AN83" s="23">
        <f t="shared" si="54"/>
        <v>4.331487341772152</v>
      </c>
      <c r="AQ83" s="32">
        <f t="shared" si="55"/>
        <v>42736</v>
      </c>
      <c r="AR83" s="32">
        <f t="shared" si="56"/>
        <v>42916</v>
      </c>
      <c r="AS83" s="50">
        <v>3</v>
      </c>
      <c r="AT83" s="1">
        <f t="shared" si="57"/>
        <v>0</v>
      </c>
      <c r="AU83" s="1">
        <f t="shared" si="58"/>
        <v>0</v>
      </c>
      <c r="AV83" s="1">
        <f t="shared" si="59"/>
        <v>0</v>
      </c>
      <c r="AW83" s="1">
        <f t="shared" si="60"/>
        <v>0</v>
      </c>
      <c r="AX83" s="1">
        <f t="shared" si="61"/>
        <v>90.5</v>
      </c>
      <c r="AY83" s="23">
        <f t="shared" si="62"/>
        <v>0.5</v>
      </c>
      <c r="AZ83" s="23">
        <f t="shared" si="63"/>
        <v>0.34651898734177217</v>
      </c>
      <c r="BA83" s="23">
        <f t="shared" si="64"/>
        <v>0.51977848101265822</v>
      </c>
      <c r="BB83" s="23">
        <f t="shared" si="65"/>
        <v>1.2994462025316456</v>
      </c>
      <c r="BC83" s="23">
        <f t="shared" si="66"/>
        <v>0</v>
      </c>
      <c r="BD83" s="23">
        <f t="shared" si="67"/>
        <v>1.2994462025316456</v>
      </c>
    </row>
    <row r="84" spans="1:56">
      <c r="A84" s="1" t="s">
        <v>20</v>
      </c>
      <c r="B84" s="1" t="s">
        <v>32</v>
      </c>
      <c r="C84" s="1" t="s">
        <v>22</v>
      </c>
      <c r="D84" s="1" t="s">
        <v>33</v>
      </c>
      <c r="E84" s="51" t="s">
        <v>107</v>
      </c>
      <c r="F84" s="51" t="s">
        <v>108</v>
      </c>
      <c r="G84" s="51" t="s">
        <v>109</v>
      </c>
      <c r="H84" s="51" t="s">
        <v>281</v>
      </c>
      <c r="I84" s="1" t="s">
        <v>147</v>
      </c>
      <c r="J84" s="51" t="s">
        <v>112</v>
      </c>
      <c r="K84" s="51" t="s">
        <v>112</v>
      </c>
      <c r="L84" s="51" t="s">
        <v>112</v>
      </c>
      <c r="M84" s="1">
        <v>1600325</v>
      </c>
      <c r="N84" s="50" t="s">
        <v>370</v>
      </c>
      <c r="O84" s="55">
        <f t="shared" si="68"/>
        <v>41214</v>
      </c>
      <c r="P84" s="55">
        <f>DATE(2014,6,30)</f>
        <v>41820</v>
      </c>
      <c r="Q84" s="51">
        <v>1700</v>
      </c>
      <c r="S84" s="51">
        <v>2</v>
      </c>
      <c r="U84" s="1">
        <f t="shared" si="38"/>
        <v>607</v>
      </c>
      <c r="V84" s="31">
        <f t="shared" si="39"/>
        <v>2.8006589785831961</v>
      </c>
      <c r="W84" s="31">
        <f t="shared" si="40"/>
        <v>1022.2405271828666</v>
      </c>
      <c r="X84" s="31">
        <f t="shared" si="41"/>
        <v>1.2778006589785833</v>
      </c>
      <c r="AA84" s="32">
        <f t="shared" si="42"/>
        <v>42552</v>
      </c>
      <c r="AB84" s="32">
        <f t="shared" si="43"/>
        <v>42735</v>
      </c>
      <c r="AC84" s="50">
        <v>1</v>
      </c>
      <c r="AD84" s="1">
        <f t="shared" si="44"/>
        <v>0</v>
      </c>
      <c r="AE84" s="1">
        <f t="shared" si="45"/>
        <v>0</v>
      </c>
      <c r="AF84" s="1">
        <f t="shared" si="46"/>
        <v>0</v>
      </c>
      <c r="AG84" s="1">
        <f t="shared" si="47"/>
        <v>0</v>
      </c>
      <c r="AH84" s="1">
        <f t="shared" si="48"/>
        <v>92</v>
      </c>
      <c r="AI84" s="23">
        <f t="shared" si="49"/>
        <v>0.5</v>
      </c>
      <c r="AJ84" s="23">
        <f t="shared" si="50"/>
        <v>0.63890032948929165</v>
      </c>
      <c r="AK84" s="23">
        <f t="shared" si="51"/>
        <v>0.31945016474464583</v>
      </c>
      <c r="AL84" s="23">
        <f t="shared" si="52"/>
        <v>0.63890032948929165</v>
      </c>
      <c r="AM84" s="23">
        <f t="shared" si="53"/>
        <v>0</v>
      </c>
      <c r="AN84" s="23">
        <f t="shared" si="54"/>
        <v>0.63890032948929165</v>
      </c>
      <c r="AQ84" s="32">
        <f t="shared" si="55"/>
        <v>42736</v>
      </c>
      <c r="AR84" s="32">
        <f t="shared" si="56"/>
        <v>42916</v>
      </c>
      <c r="AS84" s="50">
        <v>1</v>
      </c>
      <c r="AT84" s="1">
        <f t="shared" si="57"/>
        <v>0</v>
      </c>
      <c r="AU84" s="1">
        <f t="shared" si="58"/>
        <v>0</v>
      </c>
      <c r="AV84" s="1">
        <f t="shared" si="59"/>
        <v>0</v>
      </c>
      <c r="AW84" s="1">
        <f t="shared" si="60"/>
        <v>0</v>
      </c>
      <c r="AX84" s="1">
        <f t="shared" si="61"/>
        <v>90.5</v>
      </c>
      <c r="AY84" s="23">
        <f t="shared" si="62"/>
        <v>0.5</v>
      </c>
      <c r="AZ84" s="23">
        <f t="shared" si="63"/>
        <v>0.63890032948929165</v>
      </c>
      <c r="BA84" s="23">
        <f t="shared" si="64"/>
        <v>0.31945016474464583</v>
      </c>
      <c r="BB84" s="23">
        <f t="shared" si="65"/>
        <v>0.63890032948929165</v>
      </c>
      <c r="BC84" s="23">
        <f t="shared" si="66"/>
        <v>0</v>
      </c>
      <c r="BD84" s="23">
        <f t="shared" si="67"/>
        <v>0.63890032948929165</v>
      </c>
    </row>
    <row r="85" spans="1:56">
      <c r="A85" s="1" t="s">
        <v>20</v>
      </c>
      <c r="B85" s="1" t="s">
        <v>32</v>
      </c>
      <c r="C85" s="1" t="s">
        <v>22</v>
      </c>
      <c r="D85" s="1" t="s">
        <v>33</v>
      </c>
      <c r="E85" s="51" t="s">
        <v>107</v>
      </c>
      <c r="F85" s="51" t="s">
        <v>108</v>
      </c>
      <c r="G85" s="51" t="s">
        <v>109</v>
      </c>
      <c r="H85" s="51" t="s">
        <v>283</v>
      </c>
      <c r="I85" s="1" t="s">
        <v>128</v>
      </c>
      <c r="J85" s="51" t="s">
        <v>112</v>
      </c>
      <c r="K85" s="51" t="s">
        <v>112</v>
      </c>
      <c r="L85" s="51" t="s">
        <v>112</v>
      </c>
      <c r="M85" s="1">
        <v>1600326</v>
      </c>
      <c r="N85" s="50" t="s">
        <v>371</v>
      </c>
      <c r="O85" s="55">
        <f t="shared" si="68"/>
        <v>41214</v>
      </c>
      <c r="P85" s="55">
        <f>DATE(2014,6,30)</f>
        <v>41820</v>
      </c>
      <c r="Q85" s="51">
        <v>1200</v>
      </c>
      <c r="S85" s="51">
        <v>2.5</v>
      </c>
      <c r="U85" s="1">
        <f t="shared" si="38"/>
        <v>607</v>
      </c>
      <c r="V85" s="31">
        <f t="shared" si="39"/>
        <v>1.9769357495881383</v>
      </c>
      <c r="W85" s="31">
        <f t="shared" si="40"/>
        <v>721.58154859967044</v>
      </c>
      <c r="X85" s="31">
        <f t="shared" si="41"/>
        <v>0.90197693574958804</v>
      </c>
      <c r="AA85" s="32">
        <f t="shared" si="42"/>
        <v>42552</v>
      </c>
      <c r="AB85" s="32">
        <f t="shared" si="43"/>
        <v>42735</v>
      </c>
      <c r="AC85" s="50">
        <v>5</v>
      </c>
      <c r="AD85" s="1">
        <f t="shared" si="44"/>
        <v>0</v>
      </c>
      <c r="AE85" s="1">
        <f t="shared" si="45"/>
        <v>0</v>
      </c>
      <c r="AF85" s="1">
        <f t="shared" si="46"/>
        <v>0</v>
      </c>
      <c r="AG85" s="1">
        <f t="shared" si="47"/>
        <v>0</v>
      </c>
      <c r="AH85" s="1">
        <f t="shared" si="48"/>
        <v>92</v>
      </c>
      <c r="AI85" s="23">
        <f t="shared" si="49"/>
        <v>0.5</v>
      </c>
      <c r="AJ85" s="23">
        <f t="shared" si="50"/>
        <v>0.45098846787479402</v>
      </c>
      <c r="AK85" s="23">
        <f t="shared" si="51"/>
        <v>1.127471169686985</v>
      </c>
      <c r="AL85" s="23">
        <f t="shared" si="52"/>
        <v>2.8186779242174627</v>
      </c>
      <c r="AM85" s="23">
        <f t="shared" si="53"/>
        <v>0</v>
      </c>
      <c r="AN85" s="23">
        <f t="shared" si="54"/>
        <v>2.8186779242174627</v>
      </c>
      <c r="AQ85" s="32">
        <f t="shared" si="55"/>
        <v>42736</v>
      </c>
      <c r="AR85" s="32">
        <f t="shared" si="56"/>
        <v>42916</v>
      </c>
      <c r="AS85" s="50">
        <v>3</v>
      </c>
      <c r="AT85" s="1">
        <f t="shared" si="57"/>
        <v>0</v>
      </c>
      <c r="AU85" s="1">
        <f t="shared" si="58"/>
        <v>0</v>
      </c>
      <c r="AV85" s="1">
        <f t="shared" si="59"/>
        <v>0</v>
      </c>
      <c r="AW85" s="1">
        <f t="shared" si="60"/>
        <v>0</v>
      </c>
      <c r="AX85" s="1">
        <f t="shared" si="61"/>
        <v>90.5</v>
      </c>
      <c r="AY85" s="23">
        <f t="shared" si="62"/>
        <v>0.5</v>
      </c>
      <c r="AZ85" s="23">
        <f t="shared" si="63"/>
        <v>0.45098846787479402</v>
      </c>
      <c r="BA85" s="23">
        <f t="shared" si="64"/>
        <v>0.67648270181219106</v>
      </c>
      <c r="BB85" s="23">
        <f t="shared" si="65"/>
        <v>1.6912067545304776</v>
      </c>
      <c r="BC85" s="23">
        <f t="shared" si="66"/>
        <v>0</v>
      </c>
      <c r="BD85" s="23">
        <f t="shared" si="67"/>
        <v>1.6912067545304776</v>
      </c>
    </row>
    <row r="86" spans="1:56">
      <c r="A86" s="1" t="s">
        <v>20</v>
      </c>
      <c r="B86" s="1" t="s">
        <v>32</v>
      </c>
      <c r="C86" s="1" t="s">
        <v>22</v>
      </c>
      <c r="D86" s="1" t="s">
        <v>33</v>
      </c>
      <c r="E86" s="51" t="s">
        <v>107</v>
      </c>
      <c r="F86" s="51" t="s">
        <v>108</v>
      </c>
      <c r="G86" s="51" t="s">
        <v>109</v>
      </c>
      <c r="H86" s="51" t="s">
        <v>161</v>
      </c>
      <c r="I86" s="1" t="s">
        <v>131</v>
      </c>
      <c r="J86" s="51" t="s">
        <v>112</v>
      </c>
      <c r="K86" s="51" t="s">
        <v>112</v>
      </c>
      <c r="L86" s="51" t="s">
        <v>112</v>
      </c>
      <c r="M86" s="1">
        <v>1600360</v>
      </c>
      <c r="N86" s="56" t="s">
        <v>372</v>
      </c>
      <c r="O86" s="55">
        <f>DATE(2012,3,26)</f>
        <v>40994</v>
      </c>
      <c r="P86" s="55">
        <f>DATE(2013,10,30)</f>
        <v>41577</v>
      </c>
      <c r="Q86" s="51">
        <v>1540</v>
      </c>
      <c r="S86" s="51">
        <v>2.5</v>
      </c>
      <c r="U86" s="1">
        <f t="shared" si="38"/>
        <v>584</v>
      </c>
      <c r="V86" s="31">
        <f t="shared" si="39"/>
        <v>2.6369863013698631</v>
      </c>
      <c r="W86" s="31">
        <f t="shared" si="40"/>
        <v>962.5</v>
      </c>
      <c r="X86" s="31">
        <f t="shared" si="41"/>
        <v>1.203125</v>
      </c>
      <c r="AA86" s="32">
        <f t="shared" si="42"/>
        <v>42552</v>
      </c>
      <c r="AB86" s="32">
        <f t="shared" si="43"/>
        <v>42735</v>
      </c>
      <c r="AC86" s="50">
        <v>4</v>
      </c>
      <c r="AD86" s="1">
        <f t="shared" si="44"/>
        <v>0</v>
      </c>
      <c r="AE86" s="1">
        <f t="shared" si="45"/>
        <v>0</v>
      </c>
      <c r="AF86" s="1">
        <f t="shared" si="46"/>
        <v>0</v>
      </c>
      <c r="AG86" s="1">
        <f t="shared" si="47"/>
        <v>0</v>
      </c>
      <c r="AH86" s="1">
        <f t="shared" si="48"/>
        <v>92</v>
      </c>
      <c r="AI86" s="23">
        <f t="shared" si="49"/>
        <v>0.5</v>
      </c>
      <c r="AJ86" s="23">
        <f t="shared" si="50"/>
        <v>0.6015625</v>
      </c>
      <c r="AK86" s="23">
        <f t="shared" si="51"/>
        <v>1.203125</v>
      </c>
      <c r="AL86" s="23">
        <f t="shared" si="52"/>
        <v>3.0078125</v>
      </c>
      <c r="AM86" s="23">
        <f t="shared" si="53"/>
        <v>0</v>
      </c>
      <c r="AN86" s="23">
        <f t="shared" si="54"/>
        <v>3.0078125</v>
      </c>
      <c r="AQ86" s="32">
        <f t="shared" si="55"/>
        <v>42736</v>
      </c>
      <c r="AR86" s="32">
        <f t="shared" si="56"/>
        <v>42916</v>
      </c>
      <c r="AS86" s="56">
        <v>0</v>
      </c>
      <c r="AT86" s="1">
        <f t="shared" si="57"/>
        <v>0</v>
      </c>
      <c r="AU86" s="1">
        <f t="shared" si="58"/>
        <v>0</v>
      </c>
      <c r="AV86" s="1">
        <f t="shared" si="59"/>
        <v>0</v>
      </c>
      <c r="AW86" s="1">
        <f t="shared" si="60"/>
        <v>0</v>
      </c>
      <c r="AX86" s="1">
        <f t="shared" si="61"/>
        <v>90.5</v>
      </c>
      <c r="AY86" s="23">
        <f t="shared" si="62"/>
        <v>0.5</v>
      </c>
      <c r="AZ86" s="23">
        <f t="shared" si="63"/>
        <v>0.6015625</v>
      </c>
      <c r="BA86" s="23">
        <f t="shared" si="64"/>
        <v>0</v>
      </c>
      <c r="BB86" s="23">
        <f t="shared" si="65"/>
        <v>0</v>
      </c>
      <c r="BC86" s="23">
        <f t="shared" si="66"/>
        <v>0</v>
      </c>
      <c r="BD86" s="23">
        <f t="shared" si="67"/>
        <v>0</v>
      </c>
    </row>
    <row r="87" spans="1:56">
      <c r="A87" s="1" t="s">
        <v>20</v>
      </c>
      <c r="B87" s="1" t="s">
        <v>32</v>
      </c>
      <c r="C87" s="1" t="s">
        <v>22</v>
      </c>
      <c r="D87" s="1" t="s">
        <v>33</v>
      </c>
      <c r="E87" s="51" t="s">
        <v>107</v>
      </c>
      <c r="F87" s="51" t="s">
        <v>108</v>
      </c>
      <c r="G87" s="51" t="s">
        <v>109</v>
      </c>
      <c r="H87" s="51" t="s">
        <v>161</v>
      </c>
      <c r="I87" s="1" t="s">
        <v>131</v>
      </c>
      <c r="J87" s="51" t="s">
        <v>112</v>
      </c>
      <c r="K87" s="51" t="s">
        <v>112</v>
      </c>
      <c r="L87" s="51" t="s">
        <v>112</v>
      </c>
      <c r="M87" s="1">
        <v>1600364</v>
      </c>
      <c r="N87" s="50" t="s">
        <v>373</v>
      </c>
      <c r="O87" s="55">
        <f>DATE(2012,3,26)</f>
        <v>40994</v>
      </c>
      <c r="P87" s="55">
        <f>DATE(2014,2,28)</f>
        <v>41698</v>
      </c>
      <c r="Q87" s="51">
        <v>1540</v>
      </c>
      <c r="S87" s="51">
        <v>2.5</v>
      </c>
      <c r="U87" s="1">
        <f t="shared" si="38"/>
        <v>705</v>
      </c>
      <c r="V87" s="31">
        <f t="shared" si="39"/>
        <v>2.1843971631205674</v>
      </c>
      <c r="W87" s="31">
        <f t="shared" si="40"/>
        <v>797.30496453900707</v>
      </c>
      <c r="X87" s="31">
        <f t="shared" si="41"/>
        <v>0.99663120567375885</v>
      </c>
      <c r="AA87" s="32">
        <f t="shared" si="42"/>
        <v>42552</v>
      </c>
      <c r="AB87" s="32">
        <f t="shared" si="43"/>
        <v>42735</v>
      </c>
      <c r="AC87" s="50">
        <v>18</v>
      </c>
      <c r="AD87" s="1">
        <f t="shared" si="44"/>
        <v>0</v>
      </c>
      <c r="AE87" s="1">
        <f t="shared" si="45"/>
        <v>0</v>
      </c>
      <c r="AF87" s="1">
        <f t="shared" si="46"/>
        <v>0</v>
      </c>
      <c r="AG87" s="1">
        <f t="shared" si="47"/>
        <v>0</v>
      </c>
      <c r="AH87" s="1">
        <f t="shared" si="48"/>
        <v>92</v>
      </c>
      <c r="AI87" s="23">
        <f t="shared" si="49"/>
        <v>0.5</v>
      </c>
      <c r="AJ87" s="23">
        <f t="shared" si="50"/>
        <v>0.49831560283687942</v>
      </c>
      <c r="AK87" s="23">
        <f t="shared" si="51"/>
        <v>4.4848404255319148</v>
      </c>
      <c r="AL87" s="23">
        <f t="shared" si="52"/>
        <v>11.212101063829786</v>
      </c>
      <c r="AM87" s="23">
        <f t="shared" si="53"/>
        <v>0</v>
      </c>
      <c r="AN87" s="23">
        <f t="shared" si="54"/>
        <v>11.212101063829786</v>
      </c>
      <c r="AQ87" s="32">
        <f t="shared" si="55"/>
        <v>42736</v>
      </c>
      <c r="AR87" s="32">
        <f t="shared" si="56"/>
        <v>42916</v>
      </c>
      <c r="AS87" s="50">
        <v>13</v>
      </c>
      <c r="AT87" s="1">
        <f t="shared" si="57"/>
        <v>0</v>
      </c>
      <c r="AU87" s="1">
        <f t="shared" si="58"/>
        <v>0</v>
      </c>
      <c r="AV87" s="1">
        <f t="shared" si="59"/>
        <v>0</v>
      </c>
      <c r="AW87" s="1">
        <f t="shared" si="60"/>
        <v>0</v>
      </c>
      <c r="AX87" s="1">
        <f t="shared" si="61"/>
        <v>90.5</v>
      </c>
      <c r="AY87" s="23">
        <f t="shared" si="62"/>
        <v>0.5</v>
      </c>
      <c r="AZ87" s="23">
        <f t="shared" si="63"/>
        <v>0.49831560283687942</v>
      </c>
      <c r="BA87" s="23">
        <f t="shared" si="64"/>
        <v>3.2390514184397161</v>
      </c>
      <c r="BB87" s="23">
        <f t="shared" si="65"/>
        <v>8.0976285460992905</v>
      </c>
      <c r="BC87" s="23">
        <f t="shared" si="66"/>
        <v>0</v>
      </c>
      <c r="BD87" s="23">
        <f t="shared" si="67"/>
        <v>8.0976285460992905</v>
      </c>
    </row>
    <row r="88" spans="1:56">
      <c r="A88" s="1" t="s">
        <v>20</v>
      </c>
      <c r="B88" s="1" t="s">
        <v>32</v>
      </c>
      <c r="C88" s="1" t="s">
        <v>22</v>
      </c>
      <c r="D88" s="1" t="s">
        <v>33</v>
      </c>
      <c r="E88" s="51" t="s">
        <v>107</v>
      </c>
      <c r="F88" s="51" t="s">
        <v>108</v>
      </c>
      <c r="G88" s="51" t="s">
        <v>109</v>
      </c>
      <c r="H88" s="51" t="s">
        <v>136</v>
      </c>
      <c r="I88" s="1" t="s">
        <v>131</v>
      </c>
      <c r="J88" s="51" t="s">
        <v>112</v>
      </c>
      <c r="K88" s="51" t="s">
        <v>112</v>
      </c>
      <c r="L88" s="51" t="s">
        <v>112</v>
      </c>
      <c r="M88" s="1">
        <v>1600592</v>
      </c>
      <c r="N88" s="56" t="s">
        <v>374</v>
      </c>
      <c r="O88" s="55">
        <f>DATE(2012,3,26)</f>
        <v>40994</v>
      </c>
      <c r="P88" s="55">
        <f>DATE(2013,10,31)</f>
        <v>41578</v>
      </c>
      <c r="Q88" s="51">
        <v>1180</v>
      </c>
      <c r="S88" s="51">
        <v>1</v>
      </c>
      <c r="U88" s="1">
        <f t="shared" si="38"/>
        <v>585</v>
      </c>
      <c r="V88" s="31">
        <f t="shared" si="39"/>
        <v>2.017094017094017</v>
      </c>
      <c r="W88" s="31">
        <f t="shared" si="40"/>
        <v>736.23931623931617</v>
      </c>
      <c r="X88" s="31">
        <f t="shared" si="41"/>
        <v>0.92029914529914525</v>
      </c>
      <c r="AA88" s="32">
        <f t="shared" si="42"/>
        <v>42552</v>
      </c>
      <c r="AB88" s="32">
        <f t="shared" si="43"/>
        <v>42735</v>
      </c>
      <c r="AC88" s="50">
        <v>4</v>
      </c>
      <c r="AD88" s="1">
        <f t="shared" si="44"/>
        <v>0</v>
      </c>
      <c r="AE88" s="1">
        <f t="shared" si="45"/>
        <v>0</v>
      </c>
      <c r="AF88" s="1">
        <f t="shared" si="46"/>
        <v>0</v>
      </c>
      <c r="AG88" s="1">
        <f t="shared" si="47"/>
        <v>0</v>
      </c>
      <c r="AH88" s="1">
        <f t="shared" si="48"/>
        <v>92</v>
      </c>
      <c r="AI88" s="23">
        <f t="shared" si="49"/>
        <v>0.5</v>
      </c>
      <c r="AJ88" s="23">
        <f t="shared" si="50"/>
        <v>0.46014957264957262</v>
      </c>
      <c r="AK88" s="23">
        <f t="shared" si="51"/>
        <v>0.92029914529914525</v>
      </c>
      <c r="AL88" s="23">
        <f t="shared" si="52"/>
        <v>0.92029914529914525</v>
      </c>
      <c r="AM88" s="23">
        <f t="shared" si="53"/>
        <v>0</v>
      </c>
      <c r="AN88" s="23">
        <f t="shared" si="54"/>
        <v>0.92029914529914525</v>
      </c>
      <c r="AQ88" s="32">
        <f t="shared" si="55"/>
        <v>42736</v>
      </c>
      <c r="AR88" s="32">
        <f t="shared" si="56"/>
        <v>42916</v>
      </c>
      <c r="AS88" s="56">
        <v>0</v>
      </c>
      <c r="AT88" s="1">
        <f t="shared" si="57"/>
        <v>0</v>
      </c>
      <c r="AU88" s="1">
        <f t="shared" si="58"/>
        <v>0</v>
      </c>
      <c r="AV88" s="1">
        <f t="shared" si="59"/>
        <v>0</v>
      </c>
      <c r="AW88" s="1">
        <f t="shared" si="60"/>
        <v>0</v>
      </c>
      <c r="AX88" s="1">
        <f t="shared" si="61"/>
        <v>90.5</v>
      </c>
      <c r="AY88" s="23">
        <f t="shared" si="62"/>
        <v>0.5</v>
      </c>
      <c r="AZ88" s="23">
        <f t="shared" si="63"/>
        <v>0.46014957264957262</v>
      </c>
      <c r="BA88" s="23">
        <f t="shared" si="64"/>
        <v>0</v>
      </c>
      <c r="BB88" s="23">
        <f t="shared" si="65"/>
        <v>0</v>
      </c>
      <c r="BC88" s="23">
        <f t="shared" si="66"/>
        <v>0</v>
      </c>
      <c r="BD88" s="23">
        <f t="shared" si="67"/>
        <v>0</v>
      </c>
    </row>
    <row r="89" spans="1:56">
      <c r="A89" s="1" t="s">
        <v>20</v>
      </c>
      <c r="B89" s="1" t="s">
        <v>32</v>
      </c>
      <c r="C89" s="1" t="s">
        <v>22</v>
      </c>
      <c r="D89" s="1" t="s">
        <v>33</v>
      </c>
      <c r="E89" s="51" t="s">
        <v>107</v>
      </c>
      <c r="F89" s="51" t="s">
        <v>232</v>
      </c>
      <c r="G89" s="51" t="s">
        <v>109</v>
      </c>
      <c r="H89" s="51" t="s">
        <v>375</v>
      </c>
      <c r="I89" s="1" t="s">
        <v>376</v>
      </c>
      <c r="J89" s="51" t="s">
        <v>112</v>
      </c>
      <c r="K89" s="51" t="s">
        <v>112</v>
      </c>
      <c r="L89" s="51" t="s">
        <v>112</v>
      </c>
      <c r="M89" s="1">
        <v>1846852</v>
      </c>
      <c r="N89" s="56" t="s">
        <v>377</v>
      </c>
      <c r="O89" s="55">
        <f>DATE(2013,11,25)</f>
        <v>41603</v>
      </c>
      <c r="P89" s="55">
        <f>DATE(2014,2,28)</f>
        <v>41698</v>
      </c>
      <c r="Q89" s="51">
        <v>240</v>
      </c>
      <c r="S89" s="51">
        <v>1</v>
      </c>
      <c r="U89" s="1">
        <f t="shared" si="38"/>
        <v>96</v>
      </c>
      <c r="V89" s="31">
        <f t="shared" si="39"/>
        <v>2.5</v>
      </c>
      <c r="W89" s="31">
        <f t="shared" si="40"/>
        <v>240</v>
      </c>
      <c r="X89" s="31">
        <f t="shared" si="41"/>
        <v>0.3</v>
      </c>
      <c r="AA89" s="32">
        <f t="shared" si="42"/>
        <v>42552</v>
      </c>
      <c r="AB89" s="32">
        <f t="shared" si="43"/>
        <v>42735</v>
      </c>
      <c r="AC89" s="50">
        <v>51</v>
      </c>
      <c r="AD89" s="1">
        <f t="shared" si="44"/>
        <v>0</v>
      </c>
      <c r="AE89" s="1">
        <f t="shared" si="45"/>
        <v>0</v>
      </c>
      <c r="AF89" s="1">
        <f t="shared" si="46"/>
        <v>0</v>
      </c>
      <c r="AG89" s="1">
        <f t="shared" si="47"/>
        <v>0</v>
      </c>
      <c r="AH89" s="1">
        <f t="shared" si="48"/>
        <v>92</v>
      </c>
      <c r="AI89" s="23">
        <f t="shared" si="49"/>
        <v>0.5</v>
      </c>
      <c r="AJ89" s="23">
        <f t="shared" si="50"/>
        <v>0.15</v>
      </c>
      <c r="AK89" s="23">
        <f t="shared" si="51"/>
        <v>3.8249999999999997</v>
      </c>
      <c r="AL89" s="23">
        <f t="shared" si="52"/>
        <v>3.8249999999999997</v>
      </c>
      <c r="AM89" s="23">
        <f t="shared" si="53"/>
        <v>0</v>
      </c>
      <c r="AN89" s="23">
        <f t="shared" si="54"/>
        <v>3.8249999999999997</v>
      </c>
      <c r="AQ89" s="32">
        <f t="shared" si="55"/>
        <v>42736</v>
      </c>
      <c r="AR89" s="32">
        <f t="shared" si="56"/>
        <v>42916</v>
      </c>
      <c r="AS89" s="56">
        <v>0</v>
      </c>
      <c r="AT89" s="1">
        <f t="shared" si="57"/>
        <v>0</v>
      </c>
      <c r="AU89" s="1">
        <f t="shared" si="58"/>
        <v>0</v>
      </c>
      <c r="AV89" s="1">
        <f t="shared" si="59"/>
        <v>0</v>
      </c>
      <c r="AW89" s="1">
        <f t="shared" si="60"/>
        <v>0</v>
      </c>
      <c r="AX89" s="1">
        <f t="shared" si="61"/>
        <v>90.5</v>
      </c>
      <c r="AY89" s="23">
        <f t="shared" si="62"/>
        <v>0.5</v>
      </c>
      <c r="AZ89" s="23">
        <f t="shared" si="63"/>
        <v>0.15</v>
      </c>
      <c r="BA89" s="23">
        <f t="shared" si="64"/>
        <v>0</v>
      </c>
      <c r="BB89" s="23">
        <f t="shared" si="65"/>
        <v>0</v>
      </c>
      <c r="BC89" s="23">
        <f t="shared" si="66"/>
        <v>0</v>
      </c>
      <c r="BD89" s="23">
        <f t="shared" si="67"/>
        <v>0</v>
      </c>
    </row>
    <row r="90" spans="1:56">
      <c r="A90" s="1" t="s">
        <v>20</v>
      </c>
      <c r="B90" s="1" t="s">
        <v>32</v>
      </c>
      <c r="C90" s="1" t="s">
        <v>22</v>
      </c>
      <c r="D90" s="1" t="s">
        <v>33</v>
      </c>
      <c r="E90" s="51" t="s">
        <v>107</v>
      </c>
      <c r="F90" s="51" t="s">
        <v>108</v>
      </c>
      <c r="G90" s="51" t="s">
        <v>109</v>
      </c>
      <c r="H90" s="51" t="s">
        <v>283</v>
      </c>
      <c r="I90" s="1" t="s">
        <v>128</v>
      </c>
      <c r="J90" s="51" t="s">
        <v>112</v>
      </c>
      <c r="K90" s="51" t="s">
        <v>112</v>
      </c>
      <c r="L90" s="51" t="s">
        <v>112</v>
      </c>
      <c r="M90" s="1">
        <v>1858484</v>
      </c>
      <c r="N90" s="58" t="s">
        <v>378</v>
      </c>
      <c r="O90" s="55">
        <f t="shared" ref="O90:O104" si="70">DATE(2014,3,31)</f>
        <v>41729</v>
      </c>
      <c r="P90" s="55">
        <f t="shared" ref="P90:P100" si="71">DATE(2017,9,30)</f>
        <v>43008</v>
      </c>
      <c r="Q90" s="51">
        <v>3462</v>
      </c>
      <c r="S90" s="51">
        <v>2.5</v>
      </c>
      <c r="U90" s="1">
        <f t="shared" si="38"/>
        <v>1280</v>
      </c>
      <c r="V90" s="31">
        <f t="shared" si="39"/>
        <v>2.7046874999999999</v>
      </c>
      <c r="W90" s="31">
        <f t="shared" si="40"/>
        <v>987.2109375</v>
      </c>
      <c r="X90" s="31">
        <f t="shared" si="41"/>
        <v>1.2340136718750001</v>
      </c>
      <c r="AA90" s="32">
        <f t="shared" si="42"/>
        <v>42552</v>
      </c>
      <c r="AB90" s="32">
        <f t="shared" si="43"/>
        <v>42735</v>
      </c>
      <c r="AC90" s="51">
        <v>25</v>
      </c>
      <c r="AD90" s="1">
        <f t="shared" si="44"/>
        <v>184</v>
      </c>
      <c r="AE90" s="1">
        <f t="shared" si="45"/>
        <v>0</v>
      </c>
      <c r="AF90" s="1">
        <f t="shared" si="46"/>
        <v>0</v>
      </c>
      <c r="AG90" s="1">
        <f t="shared" si="47"/>
        <v>0</v>
      </c>
      <c r="AH90" s="1">
        <f t="shared" si="48"/>
        <v>0</v>
      </c>
      <c r="AI90" s="23">
        <f t="shared" si="49"/>
        <v>1</v>
      </c>
      <c r="AJ90" s="23">
        <f t="shared" si="50"/>
        <v>1.2340136718750001</v>
      </c>
      <c r="AK90" s="23">
        <f t="shared" si="51"/>
        <v>30.850341796875004</v>
      </c>
      <c r="AL90" s="23">
        <f t="shared" si="52"/>
        <v>77.125854492187514</v>
      </c>
      <c r="AM90" s="23">
        <f t="shared" si="53"/>
        <v>0</v>
      </c>
      <c r="AN90" s="23">
        <f t="shared" si="54"/>
        <v>77.125854492187514</v>
      </c>
      <c r="AQ90" s="32">
        <f t="shared" si="55"/>
        <v>42736</v>
      </c>
      <c r="AR90" s="32">
        <f t="shared" si="56"/>
        <v>42916</v>
      </c>
      <c r="AS90" s="51">
        <v>24</v>
      </c>
      <c r="AT90" s="1">
        <f t="shared" si="57"/>
        <v>181</v>
      </c>
      <c r="AU90" s="1">
        <f t="shared" si="58"/>
        <v>0</v>
      </c>
      <c r="AV90" s="1">
        <f t="shared" si="59"/>
        <v>0</v>
      </c>
      <c r="AW90" s="1">
        <f t="shared" si="60"/>
        <v>0</v>
      </c>
      <c r="AX90" s="1">
        <f t="shared" si="61"/>
        <v>0</v>
      </c>
      <c r="AY90" s="23">
        <f t="shared" si="62"/>
        <v>1</v>
      </c>
      <c r="AZ90" s="23">
        <f t="shared" si="63"/>
        <v>1.2340136718750001</v>
      </c>
      <c r="BA90" s="23">
        <f t="shared" si="64"/>
        <v>29.616328125000003</v>
      </c>
      <c r="BB90" s="23">
        <f t="shared" si="65"/>
        <v>74.040820312500003</v>
      </c>
      <c r="BC90" s="23">
        <f t="shared" si="66"/>
        <v>0</v>
      </c>
      <c r="BD90" s="23">
        <f t="shared" si="67"/>
        <v>74.040820312500003</v>
      </c>
    </row>
    <row r="91" spans="1:56">
      <c r="A91" s="1" t="s">
        <v>20</v>
      </c>
      <c r="B91" s="1" t="s">
        <v>32</v>
      </c>
      <c r="C91" s="1" t="s">
        <v>22</v>
      </c>
      <c r="D91" s="1" t="s">
        <v>33</v>
      </c>
      <c r="E91" s="51" t="s">
        <v>107</v>
      </c>
      <c r="F91" s="51" t="s">
        <v>108</v>
      </c>
      <c r="G91" s="51" t="s">
        <v>109</v>
      </c>
      <c r="H91" s="51" t="s">
        <v>124</v>
      </c>
      <c r="I91" s="1" t="s">
        <v>125</v>
      </c>
      <c r="J91" s="51" t="s">
        <v>112</v>
      </c>
      <c r="K91" s="51" t="s">
        <v>112</v>
      </c>
      <c r="L91" s="51" t="s">
        <v>112</v>
      </c>
      <c r="M91" s="1">
        <v>1858486</v>
      </c>
      <c r="N91" s="58" t="s">
        <v>379</v>
      </c>
      <c r="O91" s="55">
        <f t="shared" si="70"/>
        <v>41729</v>
      </c>
      <c r="P91" s="55">
        <f t="shared" si="71"/>
        <v>43008</v>
      </c>
      <c r="Q91" s="51">
        <v>3322</v>
      </c>
      <c r="S91" s="51">
        <v>2.5</v>
      </c>
      <c r="U91" s="1">
        <f t="shared" si="38"/>
        <v>1280</v>
      </c>
      <c r="V91" s="31">
        <f t="shared" si="39"/>
        <v>2.5953124999999999</v>
      </c>
      <c r="W91" s="31">
        <f t="shared" si="40"/>
        <v>947.2890625</v>
      </c>
      <c r="X91" s="31">
        <f t="shared" si="41"/>
        <v>1.184111328125</v>
      </c>
      <c r="AA91" s="32">
        <f t="shared" si="42"/>
        <v>42552</v>
      </c>
      <c r="AB91" s="32">
        <f t="shared" si="43"/>
        <v>42735</v>
      </c>
      <c r="AC91" s="51">
        <v>31</v>
      </c>
      <c r="AD91" s="1">
        <f t="shared" si="44"/>
        <v>184</v>
      </c>
      <c r="AE91" s="1">
        <f t="shared" si="45"/>
        <v>0</v>
      </c>
      <c r="AF91" s="1">
        <f t="shared" si="46"/>
        <v>0</v>
      </c>
      <c r="AG91" s="1">
        <f t="shared" si="47"/>
        <v>0</v>
      </c>
      <c r="AH91" s="1">
        <f t="shared" si="48"/>
        <v>0</v>
      </c>
      <c r="AI91" s="23">
        <f t="shared" si="49"/>
        <v>1</v>
      </c>
      <c r="AJ91" s="23">
        <f t="shared" si="50"/>
        <v>1.184111328125</v>
      </c>
      <c r="AK91" s="23">
        <f t="shared" si="51"/>
        <v>36.707451171875</v>
      </c>
      <c r="AL91" s="23">
        <f t="shared" si="52"/>
        <v>91.768627929687497</v>
      </c>
      <c r="AM91" s="23">
        <f t="shared" si="53"/>
        <v>0</v>
      </c>
      <c r="AN91" s="23">
        <f t="shared" si="54"/>
        <v>91.768627929687497</v>
      </c>
      <c r="AQ91" s="32">
        <f t="shared" si="55"/>
        <v>42736</v>
      </c>
      <c r="AR91" s="32">
        <f t="shared" si="56"/>
        <v>42916</v>
      </c>
      <c r="AS91" s="51">
        <v>31</v>
      </c>
      <c r="AT91" s="1">
        <f t="shared" si="57"/>
        <v>181</v>
      </c>
      <c r="AU91" s="1">
        <f t="shared" si="58"/>
        <v>0</v>
      </c>
      <c r="AV91" s="1">
        <f t="shared" si="59"/>
        <v>0</v>
      </c>
      <c r="AW91" s="1">
        <f t="shared" si="60"/>
        <v>0</v>
      </c>
      <c r="AX91" s="1">
        <f t="shared" si="61"/>
        <v>0</v>
      </c>
      <c r="AY91" s="23">
        <f t="shared" si="62"/>
        <v>1</v>
      </c>
      <c r="AZ91" s="23">
        <f t="shared" si="63"/>
        <v>1.184111328125</v>
      </c>
      <c r="BA91" s="23">
        <f t="shared" si="64"/>
        <v>36.707451171875</v>
      </c>
      <c r="BB91" s="23">
        <f t="shared" si="65"/>
        <v>91.768627929687497</v>
      </c>
      <c r="BC91" s="23">
        <f t="shared" si="66"/>
        <v>0</v>
      </c>
      <c r="BD91" s="23">
        <f t="shared" si="67"/>
        <v>91.768627929687497</v>
      </c>
    </row>
    <row r="92" spans="1:56">
      <c r="A92" s="1" t="s">
        <v>20</v>
      </c>
      <c r="B92" s="1" t="s">
        <v>32</v>
      </c>
      <c r="C92" s="1" t="s">
        <v>22</v>
      </c>
      <c r="D92" s="1" t="s">
        <v>33</v>
      </c>
      <c r="E92" s="51" t="s">
        <v>107</v>
      </c>
      <c r="F92" s="51" t="s">
        <v>108</v>
      </c>
      <c r="G92" s="51" t="s">
        <v>109</v>
      </c>
      <c r="H92" s="51" t="s">
        <v>290</v>
      </c>
      <c r="I92" s="1" t="s">
        <v>125</v>
      </c>
      <c r="J92" s="51" t="s">
        <v>112</v>
      </c>
      <c r="K92" s="51" t="s">
        <v>112</v>
      </c>
      <c r="L92" s="51" t="s">
        <v>112</v>
      </c>
      <c r="M92" s="1">
        <v>1858489</v>
      </c>
      <c r="N92" s="58" t="s">
        <v>380</v>
      </c>
      <c r="O92" s="55">
        <f t="shared" si="70"/>
        <v>41729</v>
      </c>
      <c r="P92" s="55">
        <f t="shared" si="71"/>
        <v>43008</v>
      </c>
      <c r="Q92" s="51">
        <v>3404</v>
      </c>
      <c r="S92" s="51">
        <v>2.5</v>
      </c>
      <c r="U92" s="1">
        <f t="shared" si="38"/>
        <v>1280</v>
      </c>
      <c r="V92" s="31">
        <f t="shared" si="39"/>
        <v>2.6593749999999998</v>
      </c>
      <c r="W92" s="31">
        <f t="shared" si="40"/>
        <v>970.67187499999989</v>
      </c>
      <c r="X92" s="31">
        <f t="shared" si="41"/>
        <v>1.2133398437499998</v>
      </c>
      <c r="AA92" s="32">
        <f t="shared" si="42"/>
        <v>42552</v>
      </c>
      <c r="AB92" s="32">
        <f t="shared" si="43"/>
        <v>42735</v>
      </c>
      <c r="AC92" s="51">
        <v>29</v>
      </c>
      <c r="AD92" s="1">
        <f t="shared" si="44"/>
        <v>184</v>
      </c>
      <c r="AE92" s="1">
        <f t="shared" si="45"/>
        <v>0</v>
      </c>
      <c r="AF92" s="1">
        <f t="shared" si="46"/>
        <v>0</v>
      </c>
      <c r="AG92" s="1">
        <f t="shared" si="47"/>
        <v>0</v>
      </c>
      <c r="AH92" s="1">
        <f t="shared" si="48"/>
        <v>0</v>
      </c>
      <c r="AI92" s="23">
        <f t="shared" si="49"/>
        <v>1</v>
      </c>
      <c r="AJ92" s="23">
        <f t="shared" si="50"/>
        <v>1.2133398437499998</v>
      </c>
      <c r="AK92" s="23">
        <f t="shared" si="51"/>
        <v>35.186855468749997</v>
      </c>
      <c r="AL92" s="23">
        <f t="shared" si="52"/>
        <v>87.967138671874991</v>
      </c>
      <c r="AM92" s="23">
        <f t="shared" si="53"/>
        <v>0</v>
      </c>
      <c r="AN92" s="23">
        <f t="shared" si="54"/>
        <v>87.967138671874991</v>
      </c>
      <c r="AQ92" s="32">
        <f t="shared" si="55"/>
        <v>42736</v>
      </c>
      <c r="AR92" s="32">
        <f t="shared" si="56"/>
        <v>42916</v>
      </c>
      <c r="AS92" s="51">
        <v>28</v>
      </c>
      <c r="AT92" s="1">
        <f t="shared" si="57"/>
        <v>181</v>
      </c>
      <c r="AU92" s="1">
        <f t="shared" si="58"/>
        <v>0</v>
      </c>
      <c r="AV92" s="1">
        <f t="shared" si="59"/>
        <v>0</v>
      </c>
      <c r="AW92" s="1">
        <f t="shared" si="60"/>
        <v>0</v>
      </c>
      <c r="AX92" s="1">
        <f t="shared" si="61"/>
        <v>0</v>
      </c>
      <c r="AY92" s="23">
        <f t="shared" si="62"/>
        <v>1</v>
      </c>
      <c r="AZ92" s="23">
        <f t="shared" si="63"/>
        <v>1.2133398437499998</v>
      </c>
      <c r="BA92" s="23">
        <f t="shared" si="64"/>
        <v>33.973515624999997</v>
      </c>
      <c r="BB92" s="23">
        <f t="shared" si="65"/>
        <v>84.933789062499997</v>
      </c>
      <c r="BC92" s="23">
        <f t="shared" si="66"/>
        <v>0</v>
      </c>
      <c r="BD92" s="23">
        <f t="shared" si="67"/>
        <v>84.933789062499997</v>
      </c>
    </row>
    <row r="93" spans="1:56">
      <c r="A93" s="1" t="s">
        <v>20</v>
      </c>
      <c r="B93" s="1" t="s">
        <v>32</v>
      </c>
      <c r="C93" s="1" t="s">
        <v>22</v>
      </c>
      <c r="D93" s="1" t="s">
        <v>33</v>
      </c>
      <c r="E93" s="51" t="s">
        <v>107</v>
      </c>
      <c r="F93" s="51" t="s">
        <v>108</v>
      </c>
      <c r="G93" s="51" t="s">
        <v>109</v>
      </c>
      <c r="H93" s="51" t="s">
        <v>285</v>
      </c>
      <c r="I93" s="1" t="s">
        <v>125</v>
      </c>
      <c r="J93" s="51" t="s">
        <v>112</v>
      </c>
      <c r="K93" s="51" t="s">
        <v>112</v>
      </c>
      <c r="L93" s="51" t="s">
        <v>112</v>
      </c>
      <c r="M93" s="1">
        <v>1858491</v>
      </c>
      <c r="N93" s="58" t="s">
        <v>381</v>
      </c>
      <c r="O93" s="55">
        <f t="shared" si="70"/>
        <v>41729</v>
      </c>
      <c r="P93" s="55">
        <f t="shared" si="71"/>
        <v>43008</v>
      </c>
      <c r="Q93" s="51">
        <v>3115</v>
      </c>
      <c r="S93" s="51">
        <v>2.5</v>
      </c>
      <c r="U93" s="1">
        <f t="shared" si="38"/>
        <v>1280</v>
      </c>
      <c r="V93" s="31">
        <f t="shared" si="39"/>
        <v>2.43359375</v>
      </c>
      <c r="W93" s="31">
        <f t="shared" si="40"/>
        <v>888.26171875</v>
      </c>
      <c r="X93" s="31">
        <f t="shared" si="41"/>
        <v>1.1103271484374999</v>
      </c>
      <c r="AA93" s="32">
        <f t="shared" si="42"/>
        <v>42552</v>
      </c>
      <c r="AB93" s="32">
        <f t="shared" si="43"/>
        <v>42735</v>
      </c>
      <c r="AC93" s="51">
        <v>23</v>
      </c>
      <c r="AD93" s="1">
        <f t="shared" si="44"/>
        <v>184</v>
      </c>
      <c r="AE93" s="1">
        <f t="shared" si="45"/>
        <v>0</v>
      </c>
      <c r="AF93" s="1">
        <f t="shared" si="46"/>
        <v>0</v>
      </c>
      <c r="AG93" s="1">
        <f t="shared" si="47"/>
        <v>0</v>
      </c>
      <c r="AH93" s="1">
        <f t="shared" si="48"/>
        <v>0</v>
      </c>
      <c r="AI93" s="23">
        <f t="shared" si="49"/>
        <v>1</v>
      </c>
      <c r="AJ93" s="23">
        <f t="shared" si="50"/>
        <v>1.1103271484374999</v>
      </c>
      <c r="AK93" s="23">
        <f t="shared" si="51"/>
        <v>25.537524414062499</v>
      </c>
      <c r="AL93" s="23">
        <f t="shared" si="52"/>
        <v>63.84381103515625</v>
      </c>
      <c r="AM93" s="23">
        <f t="shared" si="53"/>
        <v>0</v>
      </c>
      <c r="AN93" s="23">
        <f t="shared" si="54"/>
        <v>63.84381103515625</v>
      </c>
      <c r="AQ93" s="32">
        <f t="shared" si="55"/>
        <v>42736</v>
      </c>
      <c r="AR93" s="32">
        <f t="shared" si="56"/>
        <v>42916</v>
      </c>
      <c r="AS93" s="51">
        <v>23</v>
      </c>
      <c r="AT93" s="1">
        <f t="shared" si="57"/>
        <v>181</v>
      </c>
      <c r="AU93" s="1">
        <f t="shared" si="58"/>
        <v>0</v>
      </c>
      <c r="AV93" s="1">
        <f t="shared" si="59"/>
        <v>0</v>
      </c>
      <c r="AW93" s="1">
        <f t="shared" si="60"/>
        <v>0</v>
      </c>
      <c r="AX93" s="1">
        <f t="shared" si="61"/>
        <v>0</v>
      </c>
      <c r="AY93" s="23">
        <f t="shared" si="62"/>
        <v>1</v>
      </c>
      <c r="AZ93" s="23">
        <f t="shared" si="63"/>
        <v>1.1103271484374999</v>
      </c>
      <c r="BA93" s="23">
        <f t="shared" si="64"/>
        <v>25.537524414062499</v>
      </c>
      <c r="BB93" s="23">
        <f t="shared" si="65"/>
        <v>63.84381103515625</v>
      </c>
      <c r="BC93" s="23">
        <f t="shared" si="66"/>
        <v>0</v>
      </c>
      <c r="BD93" s="23">
        <f t="shared" si="67"/>
        <v>63.84381103515625</v>
      </c>
    </row>
    <row r="94" spans="1:56">
      <c r="A94" s="1" t="s">
        <v>20</v>
      </c>
      <c r="B94" s="1" t="s">
        <v>32</v>
      </c>
      <c r="C94" s="1" t="s">
        <v>22</v>
      </c>
      <c r="D94" s="1" t="s">
        <v>33</v>
      </c>
      <c r="E94" s="51" t="s">
        <v>107</v>
      </c>
      <c r="F94" s="51" t="s">
        <v>108</v>
      </c>
      <c r="G94" s="51" t="s">
        <v>109</v>
      </c>
      <c r="H94" s="51" t="s">
        <v>275</v>
      </c>
      <c r="I94" s="1" t="s">
        <v>128</v>
      </c>
      <c r="J94" s="51" t="s">
        <v>112</v>
      </c>
      <c r="K94" s="51" t="s">
        <v>112</v>
      </c>
      <c r="L94" s="51" t="s">
        <v>112</v>
      </c>
      <c r="M94" s="1">
        <v>1858493</v>
      </c>
      <c r="N94" s="58" t="s">
        <v>382</v>
      </c>
      <c r="O94" s="55">
        <f t="shared" si="70"/>
        <v>41729</v>
      </c>
      <c r="P94" s="55">
        <f t="shared" si="71"/>
        <v>43008</v>
      </c>
      <c r="Q94" s="51">
        <v>3270</v>
      </c>
      <c r="S94" s="51">
        <v>2.5</v>
      </c>
      <c r="U94" s="1">
        <f t="shared" si="38"/>
        <v>1280</v>
      </c>
      <c r="V94" s="31">
        <f t="shared" si="39"/>
        <v>2.5546875</v>
      </c>
      <c r="W94" s="31">
        <f t="shared" si="40"/>
        <v>932.4609375</v>
      </c>
      <c r="X94" s="31">
        <f t="shared" si="41"/>
        <v>1.165576171875</v>
      </c>
      <c r="AA94" s="32">
        <f t="shared" si="42"/>
        <v>42552</v>
      </c>
      <c r="AB94" s="32">
        <f t="shared" si="43"/>
        <v>42735</v>
      </c>
      <c r="AC94" s="51">
        <v>22</v>
      </c>
      <c r="AD94" s="1">
        <f t="shared" si="44"/>
        <v>184</v>
      </c>
      <c r="AE94" s="1">
        <f t="shared" si="45"/>
        <v>0</v>
      </c>
      <c r="AF94" s="1">
        <f t="shared" si="46"/>
        <v>0</v>
      </c>
      <c r="AG94" s="1">
        <f t="shared" si="47"/>
        <v>0</v>
      </c>
      <c r="AH94" s="1">
        <f t="shared" si="48"/>
        <v>0</v>
      </c>
      <c r="AI94" s="23">
        <f t="shared" si="49"/>
        <v>1</v>
      </c>
      <c r="AJ94" s="23">
        <f t="shared" si="50"/>
        <v>1.165576171875</v>
      </c>
      <c r="AK94" s="23">
        <f t="shared" si="51"/>
        <v>25.642675781249999</v>
      </c>
      <c r="AL94" s="23">
        <f t="shared" si="52"/>
        <v>64.106689453125</v>
      </c>
      <c r="AM94" s="23">
        <f t="shared" si="53"/>
        <v>0</v>
      </c>
      <c r="AN94" s="23">
        <f t="shared" si="54"/>
        <v>64.106689453125</v>
      </c>
      <c r="AQ94" s="32">
        <f t="shared" si="55"/>
        <v>42736</v>
      </c>
      <c r="AR94" s="32">
        <f t="shared" si="56"/>
        <v>42916</v>
      </c>
      <c r="AS94" s="51">
        <v>22</v>
      </c>
      <c r="AT94" s="1">
        <f t="shared" si="57"/>
        <v>181</v>
      </c>
      <c r="AU94" s="1">
        <f t="shared" si="58"/>
        <v>0</v>
      </c>
      <c r="AV94" s="1">
        <f t="shared" si="59"/>
        <v>0</v>
      </c>
      <c r="AW94" s="1">
        <f t="shared" si="60"/>
        <v>0</v>
      </c>
      <c r="AX94" s="1">
        <f t="shared" si="61"/>
        <v>0</v>
      </c>
      <c r="AY94" s="23">
        <f t="shared" si="62"/>
        <v>1</v>
      </c>
      <c r="AZ94" s="23">
        <f t="shared" si="63"/>
        <v>1.165576171875</v>
      </c>
      <c r="BA94" s="23">
        <f t="shared" si="64"/>
        <v>25.642675781249999</v>
      </c>
      <c r="BB94" s="23">
        <f t="shared" si="65"/>
        <v>64.106689453125</v>
      </c>
      <c r="BC94" s="23">
        <f t="shared" si="66"/>
        <v>0</v>
      </c>
      <c r="BD94" s="23">
        <f t="shared" si="67"/>
        <v>64.106689453125</v>
      </c>
    </row>
    <row r="95" spans="1:56">
      <c r="A95" s="1" t="s">
        <v>20</v>
      </c>
      <c r="B95" s="1" t="s">
        <v>32</v>
      </c>
      <c r="C95" s="1" t="s">
        <v>22</v>
      </c>
      <c r="D95" s="1" t="s">
        <v>33</v>
      </c>
      <c r="E95" s="51" t="s">
        <v>107</v>
      </c>
      <c r="F95" s="51" t="s">
        <v>108</v>
      </c>
      <c r="G95" s="51" t="s">
        <v>109</v>
      </c>
      <c r="H95" s="51" t="s">
        <v>273</v>
      </c>
      <c r="I95" s="1" t="s">
        <v>128</v>
      </c>
      <c r="J95" s="51" t="s">
        <v>112</v>
      </c>
      <c r="K95" s="51" t="s">
        <v>112</v>
      </c>
      <c r="L95" s="51" t="s">
        <v>112</v>
      </c>
      <c r="M95" s="1">
        <v>1858496</v>
      </c>
      <c r="N95" s="58" t="s">
        <v>383</v>
      </c>
      <c r="O95" s="55">
        <f t="shared" si="70"/>
        <v>41729</v>
      </c>
      <c r="P95" s="55">
        <f t="shared" si="71"/>
        <v>43008</v>
      </c>
      <c r="Q95" s="51">
        <v>3180</v>
      </c>
      <c r="S95" s="51">
        <v>2.5</v>
      </c>
      <c r="U95" s="1">
        <f t="shared" si="38"/>
        <v>1280</v>
      </c>
      <c r="V95" s="31">
        <f t="shared" si="39"/>
        <v>2.484375</v>
      </c>
      <c r="W95" s="31">
        <f t="shared" si="40"/>
        <v>906.796875</v>
      </c>
      <c r="X95" s="31">
        <f t="shared" si="41"/>
        <v>1.13349609375</v>
      </c>
      <c r="AA95" s="32">
        <f t="shared" si="42"/>
        <v>42552</v>
      </c>
      <c r="AB95" s="32">
        <f t="shared" si="43"/>
        <v>42735</v>
      </c>
      <c r="AC95" s="51">
        <v>22</v>
      </c>
      <c r="AD95" s="1">
        <f t="shared" si="44"/>
        <v>184</v>
      </c>
      <c r="AE95" s="1">
        <f t="shared" si="45"/>
        <v>0</v>
      </c>
      <c r="AF95" s="1">
        <f t="shared" si="46"/>
        <v>0</v>
      </c>
      <c r="AG95" s="1">
        <f t="shared" si="47"/>
        <v>0</v>
      </c>
      <c r="AH95" s="1">
        <f t="shared" si="48"/>
        <v>0</v>
      </c>
      <c r="AI95" s="23">
        <f t="shared" si="49"/>
        <v>1</v>
      </c>
      <c r="AJ95" s="23">
        <f t="shared" si="50"/>
        <v>1.13349609375</v>
      </c>
      <c r="AK95" s="23">
        <f t="shared" si="51"/>
        <v>24.936914062500001</v>
      </c>
      <c r="AL95" s="23">
        <f t="shared" si="52"/>
        <v>62.34228515625</v>
      </c>
      <c r="AM95" s="23">
        <f t="shared" si="53"/>
        <v>0</v>
      </c>
      <c r="AN95" s="23">
        <f t="shared" si="54"/>
        <v>62.34228515625</v>
      </c>
      <c r="AQ95" s="32">
        <f t="shared" si="55"/>
        <v>42736</v>
      </c>
      <c r="AR95" s="32">
        <f t="shared" si="56"/>
        <v>42916</v>
      </c>
      <c r="AS95" s="51">
        <v>20</v>
      </c>
      <c r="AT95" s="1">
        <f t="shared" si="57"/>
        <v>181</v>
      </c>
      <c r="AU95" s="1">
        <f t="shared" si="58"/>
        <v>0</v>
      </c>
      <c r="AV95" s="1">
        <f t="shared" si="59"/>
        <v>0</v>
      </c>
      <c r="AW95" s="1">
        <f t="shared" si="60"/>
        <v>0</v>
      </c>
      <c r="AX95" s="1">
        <f t="shared" si="61"/>
        <v>0</v>
      </c>
      <c r="AY95" s="23">
        <f t="shared" si="62"/>
        <v>1</v>
      </c>
      <c r="AZ95" s="23">
        <f t="shared" si="63"/>
        <v>1.13349609375</v>
      </c>
      <c r="BA95" s="23">
        <f t="shared" si="64"/>
        <v>22.669921875</v>
      </c>
      <c r="BB95" s="23">
        <f t="shared" si="65"/>
        <v>56.6748046875</v>
      </c>
      <c r="BC95" s="23">
        <f t="shared" si="66"/>
        <v>0</v>
      </c>
      <c r="BD95" s="23">
        <f t="shared" si="67"/>
        <v>56.6748046875</v>
      </c>
    </row>
    <row r="96" spans="1:56">
      <c r="A96" s="1" t="s">
        <v>20</v>
      </c>
      <c r="B96" s="1" t="s">
        <v>32</v>
      </c>
      <c r="C96" s="1" t="s">
        <v>22</v>
      </c>
      <c r="D96" s="1" t="s">
        <v>33</v>
      </c>
      <c r="E96" s="51" t="s">
        <v>107</v>
      </c>
      <c r="F96" s="51" t="s">
        <v>108</v>
      </c>
      <c r="G96" s="51" t="s">
        <v>109</v>
      </c>
      <c r="H96" s="51" t="s">
        <v>287</v>
      </c>
      <c r="I96" s="1" t="s">
        <v>111</v>
      </c>
      <c r="J96" s="51" t="s">
        <v>112</v>
      </c>
      <c r="K96" s="51" t="s">
        <v>112</v>
      </c>
      <c r="L96" s="51" t="s">
        <v>112</v>
      </c>
      <c r="M96" s="1">
        <v>1858499</v>
      </c>
      <c r="N96" s="58" t="s">
        <v>384</v>
      </c>
      <c r="O96" s="55">
        <f t="shared" si="70"/>
        <v>41729</v>
      </c>
      <c r="P96" s="55">
        <f t="shared" si="71"/>
        <v>43008</v>
      </c>
      <c r="Q96" s="51">
        <v>3227</v>
      </c>
      <c r="S96" s="51">
        <v>2.5</v>
      </c>
      <c r="U96" s="1">
        <f t="shared" si="38"/>
        <v>1280</v>
      </c>
      <c r="V96" s="31">
        <f t="shared" si="39"/>
        <v>2.5210937499999999</v>
      </c>
      <c r="W96" s="31">
        <f t="shared" si="40"/>
        <v>920.19921875</v>
      </c>
      <c r="X96" s="31">
        <f t="shared" si="41"/>
        <v>1.1502490234375</v>
      </c>
      <c r="AA96" s="32">
        <f t="shared" si="42"/>
        <v>42552</v>
      </c>
      <c r="AB96" s="32">
        <f t="shared" si="43"/>
        <v>42735</v>
      </c>
      <c r="AC96" s="51">
        <v>24</v>
      </c>
      <c r="AD96" s="1">
        <f t="shared" si="44"/>
        <v>184</v>
      </c>
      <c r="AE96" s="1">
        <f t="shared" si="45"/>
        <v>0</v>
      </c>
      <c r="AF96" s="1">
        <f t="shared" si="46"/>
        <v>0</v>
      </c>
      <c r="AG96" s="1">
        <f t="shared" si="47"/>
        <v>0</v>
      </c>
      <c r="AH96" s="1">
        <f t="shared" si="48"/>
        <v>0</v>
      </c>
      <c r="AI96" s="23">
        <f t="shared" si="49"/>
        <v>1</v>
      </c>
      <c r="AJ96" s="23">
        <f t="shared" si="50"/>
        <v>1.1502490234375</v>
      </c>
      <c r="AK96" s="23">
        <f t="shared" si="51"/>
        <v>27.6059765625</v>
      </c>
      <c r="AL96" s="23">
        <f t="shared" si="52"/>
        <v>69.014941406250003</v>
      </c>
      <c r="AM96" s="23">
        <f t="shared" si="53"/>
        <v>0</v>
      </c>
      <c r="AN96" s="23">
        <f t="shared" si="54"/>
        <v>69.014941406250003</v>
      </c>
      <c r="AQ96" s="32">
        <f t="shared" si="55"/>
        <v>42736</v>
      </c>
      <c r="AR96" s="32">
        <f t="shared" si="56"/>
        <v>42916</v>
      </c>
      <c r="AS96" s="51">
        <v>24</v>
      </c>
      <c r="AT96" s="1">
        <f t="shared" si="57"/>
        <v>181</v>
      </c>
      <c r="AU96" s="1">
        <f t="shared" si="58"/>
        <v>0</v>
      </c>
      <c r="AV96" s="1">
        <f t="shared" si="59"/>
        <v>0</v>
      </c>
      <c r="AW96" s="1">
        <f t="shared" si="60"/>
        <v>0</v>
      </c>
      <c r="AX96" s="1">
        <f t="shared" si="61"/>
        <v>0</v>
      </c>
      <c r="AY96" s="23">
        <f t="shared" si="62"/>
        <v>1</v>
      </c>
      <c r="AZ96" s="23">
        <f t="shared" si="63"/>
        <v>1.1502490234375</v>
      </c>
      <c r="BA96" s="23">
        <f t="shared" si="64"/>
        <v>27.6059765625</v>
      </c>
      <c r="BB96" s="23">
        <f t="shared" si="65"/>
        <v>69.014941406250003</v>
      </c>
      <c r="BC96" s="23">
        <f t="shared" si="66"/>
        <v>0</v>
      </c>
      <c r="BD96" s="23">
        <f t="shared" si="67"/>
        <v>69.014941406250003</v>
      </c>
    </row>
    <row r="97" spans="1:56">
      <c r="A97" s="1" t="s">
        <v>20</v>
      </c>
      <c r="B97" s="1" t="s">
        <v>32</v>
      </c>
      <c r="C97" s="1" t="s">
        <v>22</v>
      </c>
      <c r="D97" s="1" t="s">
        <v>33</v>
      </c>
      <c r="E97" s="51" t="s">
        <v>107</v>
      </c>
      <c r="F97" s="51" t="s">
        <v>108</v>
      </c>
      <c r="G97" s="51" t="s">
        <v>109</v>
      </c>
      <c r="H97" s="51" t="s">
        <v>281</v>
      </c>
      <c r="I97" s="1" t="s">
        <v>147</v>
      </c>
      <c r="J97" s="51" t="s">
        <v>112</v>
      </c>
      <c r="K97" s="51" t="s">
        <v>112</v>
      </c>
      <c r="L97" s="51" t="s">
        <v>112</v>
      </c>
      <c r="M97" s="1">
        <v>1858504</v>
      </c>
      <c r="N97" s="58" t="s">
        <v>385</v>
      </c>
      <c r="O97" s="55">
        <f t="shared" si="70"/>
        <v>41729</v>
      </c>
      <c r="P97" s="55">
        <f t="shared" si="71"/>
        <v>43008</v>
      </c>
      <c r="Q97" s="51">
        <v>3407</v>
      </c>
      <c r="S97" s="51">
        <v>2</v>
      </c>
      <c r="U97" s="1">
        <f t="shared" si="38"/>
        <v>1280</v>
      </c>
      <c r="V97" s="31">
        <f t="shared" si="39"/>
        <v>2.6617187499999999</v>
      </c>
      <c r="W97" s="31">
        <f t="shared" si="40"/>
        <v>971.52734375</v>
      </c>
      <c r="X97" s="31">
        <f t="shared" si="41"/>
        <v>1.2144091796875001</v>
      </c>
      <c r="AA97" s="32">
        <f t="shared" si="42"/>
        <v>42552</v>
      </c>
      <c r="AB97" s="32">
        <f t="shared" si="43"/>
        <v>42735</v>
      </c>
      <c r="AC97" s="51">
        <v>20</v>
      </c>
      <c r="AD97" s="1">
        <f t="shared" si="44"/>
        <v>184</v>
      </c>
      <c r="AE97" s="1">
        <f t="shared" si="45"/>
        <v>0</v>
      </c>
      <c r="AF97" s="1">
        <f t="shared" si="46"/>
        <v>0</v>
      </c>
      <c r="AG97" s="1">
        <f t="shared" si="47"/>
        <v>0</v>
      </c>
      <c r="AH97" s="1">
        <f t="shared" si="48"/>
        <v>0</v>
      </c>
      <c r="AI97" s="23">
        <f t="shared" si="49"/>
        <v>1</v>
      </c>
      <c r="AJ97" s="23">
        <f t="shared" si="50"/>
        <v>1.2144091796875001</v>
      </c>
      <c r="AK97" s="23">
        <f t="shared" si="51"/>
        <v>24.288183593750002</v>
      </c>
      <c r="AL97" s="23">
        <f t="shared" si="52"/>
        <v>48.576367187500004</v>
      </c>
      <c r="AM97" s="23">
        <f t="shared" si="53"/>
        <v>0</v>
      </c>
      <c r="AN97" s="23">
        <f t="shared" si="54"/>
        <v>48.576367187500004</v>
      </c>
      <c r="AQ97" s="32">
        <f t="shared" si="55"/>
        <v>42736</v>
      </c>
      <c r="AR97" s="32">
        <f t="shared" si="56"/>
        <v>42916</v>
      </c>
      <c r="AS97" s="51">
        <v>20</v>
      </c>
      <c r="AT97" s="1">
        <f t="shared" si="57"/>
        <v>181</v>
      </c>
      <c r="AU97" s="1">
        <f t="shared" si="58"/>
        <v>0</v>
      </c>
      <c r="AV97" s="1">
        <f t="shared" si="59"/>
        <v>0</v>
      </c>
      <c r="AW97" s="1">
        <f t="shared" si="60"/>
        <v>0</v>
      </c>
      <c r="AX97" s="1">
        <f t="shared" si="61"/>
        <v>0</v>
      </c>
      <c r="AY97" s="23">
        <f t="shared" si="62"/>
        <v>1</v>
      </c>
      <c r="AZ97" s="23">
        <f t="shared" si="63"/>
        <v>1.2144091796875001</v>
      </c>
      <c r="BA97" s="23">
        <f t="shared" si="64"/>
        <v>24.288183593750002</v>
      </c>
      <c r="BB97" s="23">
        <f t="shared" si="65"/>
        <v>48.576367187500004</v>
      </c>
      <c r="BC97" s="23">
        <f t="shared" si="66"/>
        <v>0</v>
      </c>
      <c r="BD97" s="23">
        <f t="shared" si="67"/>
        <v>48.576367187500004</v>
      </c>
    </row>
    <row r="98" spans="1:56">
      <c r="A98" s="1" t="s">
        <v>20</v>
      </c>
      <c r="B98" s="1" t="s">
        <v>32</v>
      </c>
      <c r="C98" s="1" t="s">
        <v>22</v>
      </c>
      <c r="D98" s="1" t="s">
        <v>33</v>
      </c>
      <c r="E98" s="51" t="s">
        <v>107</v>
      </c>
      <c r="F98" s="51" t="s">
        <v>108</v>
      </c>
      <c r="G98" s="51" t="s">
        <v>109</v>
      </c>
      <c r="H98" s="51" t="s">
        <v>213</v>
      </c>
      <c r="I98" s="1" t="s">
        <v>214</v>
      </c>
      <c r="J98" s="51" t="s">
        <v>112</v>
      </c>
      <c r="K98" s="51" t="s">
        <v>112</v>
      </c>
      <c r="L98" s="51" t="s">
        <v>112</v>
      </c>
      <c r="M98" s="1">
        <v>1858511</v>
      </c>
      <c r="N98" s="58" t="s">
        <v>386</v>
      </c>
      <c r="O98" s="55">
        <f t="shared" si="70"/>
        <v>41729</v>
      </c>
      <c r="P98" s="55">
        <f t="shared" si="71"/>
        <v>43008</v>
      </c>
      <c r="Q98" s="51">
        <v>3102</v>
      </c>
      <c r="S98" s="51">
        <v>1.5</v>
      </c>
      <c r="U98" s="1">
        <f t="shared" si="38"/>
        <v>1280</v>
      </c>
      <c r="V98" s="31">
        <f t="shared" si="39"/>
        <v>2.4234374999999999</v>
      </c>
      <c r="W98" s="31">
        <f t="shared" si="40"/>
        <v>884.5546875</v>
      </c>
      <c r="X98" s="31">
        <f t="shared" si="41"/>
        <v>1.105693359375</v>
      </c>
      <c r="AA98" s="32">
        <f t="shared" si="42"/>
        <v>42552</v>
      </c>
      <c r="AB98" s="32">
        <f t="shared" si="43"/>
        <v>42735</v>
      </c>
      <c r="AC98" s="51">
        <v>22</v>
      </c>
      <c r="AD98" s="1">
        <f t="shared" si="44"/>
        <v>184</v>
      </c>
      <c r="AE98" s="1">
        <f t="shared" si="45"/>
        <v>0</v>
      </c>
      <c r="AF98" s="1">
        <f t="shared" si="46"/>
        <v>0</v>
      </c>
      <c r="AG98" s="1">
        <f t="shared" si="47"/>
        <v>0</v>
      </c>
      <c r="AH98" s="1">
        <f t="shared" si="48"/>
        <v>0</v>
      </c>
      <c r="AI98" s="23">
        <f t="shared" si="49"/>
        <v>1</v>
      </c>
      <c r="AJ98" s="23">
        <f t="shared" si="50"/>
        <v>1.105693359375</v>
      </c>
      <c r="AK98" s="23">
        <f t="shared" si="51"/>
        <v>24.325253906250001</v>
      </c>
      <c r="AL98" s="23">
        <f t="shared" si="52"/>
        <v>36.487880859375004</v>
      </c>
      <c r="AM98" s="23">
        <f t="shared" si="53"/>
        <v>0</v>
      </c>
      <c r="AN98" s="23">
        <f t="shared" si="54"/>
        <v>36.487880859375004</v>
      </c>
      <c r="AQ98" s="32">
        <f t="shared" si="55"/>
        <v>42736</v>
      </c>
      <c r="AR98" s="32">
        <f t="shared" si="56"/>
        <v>42916</v>
      </c>
      <c r="AS98" s="51">
        <v>21</v>
      </c>
      <c r="AT98" s="1">
        <f t="shared" si="57"/>
        <v>181</v>
      </c>
      <c r="AU98" s="1">
        <f t="shared" si="58"/>
        <v>0</v>
      </c>
      <c r="AV98" s="1">
        <f t="shared" si="59"/>
        <v>0</v>
      </c>
      <c r="AW98" s="1">
        <f t="shared" si="60"/>
        <v>0</v>
      </c>
      <c r="AX98" s="1">
        <f t="shared" si="61"/>
        <v>0</v>
      </c>
      <c r="AY98" s="23">
        <f t="shared" si="62"/>
        <v>1</v>
      </c>
      <c r="AZ98" s="23">
        <f t="shared" si="63"/>
        <v>1.105693359375</v>
      </c>
      <c r="BA98" s="23">
        <f t="shared" si="64"/>
        <v>23.219560546875002</v>
      </c>
      <c r="BB98" s="23">
        <f t="shared" si="65"/>
        <v>34.829340820312503</v>
      </c>
      <c r="BC98" s="23">
        <f t="shared" si="66"/>
        <v>0</v>
      </c>
      <c r="BD98" s="23">
        <f t="shared" si="67"/>
        <v>34.829340820312503</v>
      </c>
    </row>
    <row r="99" spans="1:56">
      <c r="A99" s="1" t="s">
        <v>20</v>
      </c>
      <c r="B99" s="1" t="s">
        <v>32</v>
      </c>
      <c r="C99" s="1" t="s">
        <v>22</v>
      </c>
      <c r="D99" s="1" t="s">
        <v>33</v>
      </c>
      <c r="E99" s="51" t="s">
        <v>107</v>
      </c>
      <c r="F99" s="51" t="s">
        <v>108</v>
      </c>
      <c r="G99" s="51" t="s">
        <v>109</v>
      </c>
      <c r="H99" s="51" t="s">
        <v>277</v>
      </c>
      <c r="I99" s="1" t="s">
        <v>278</v>
      </c>
      <c r="J99" s="51" t="s">
        <v>112</v>
      </c>
      <c r="K99" s="51" t="s">
        <v>112</v>
      </c>
      <c r="L99" s="51" t="s">
        <v>112</v>
      </c>
      <c r="M99" s="1">
        <v>1858512</v>
      </c>
      <c r="N99" s="58" t="s">
        <v>387</v>
      </c>
      <c r="O99" s="55">
        <f t="shared" si="70"/>
        <v>41729</v>
      </c>
      <c r="P99" s="55">
        <f t="shared" si="71"/>
        <v>43008</v>
      </c>
      <c r="Q99" s="51">
        <v>3102</v>
      </c>
      <c r="S99" s="51">
        <v>1.5</v>
      </c>
      <c r="U99" s="1">
        <f t="shared" si="38"/>
        <v>1280</v>
      </c>
      <c r="V99" s="31">
        <f t="shared" si="39"/>
        <v>2.4234374999999999</v>
      </c>
      <c r="W99" s="31">
        <f t="shared" si="40"/>
        <v>884.5546875</v>
      </c>
      <c r="X99" s="31">
        <f t="shared" si="41"/>
        <v>1.105693359375</v>
      </c>
      <c r="AA99" s="32">
        <f t="shared" si="42"/>
        <v>42552</v>
      </c>
      <c r="AB99" s="32">
        <f t="shared" si="43"/>
        <v>42735</v>
      </c>
      <c r="AC99" s="51">
        <v>24</v>
      </c>
      <c r="AD99" s="1">
        <f t="shared" si="44"/>
        <v>184</v>
      </c>
      <c r="AE99" s="1">
        <f t="shared" si="45"/>
        <v>0</v>
      </c>
      <c r="AF99" s="1">
        <f t="shared" si="46"/>
        <v>0</v>
      </c>
      <c r="AG99" s="1">
        <f t="shared" si="47"/>
        <v>0</v>
      </c>
      <c r="AH99" s="1">
        <f t="shared" si="48"/>
        <v>0</v>
      </c>
      <c r="AI99" s="23">
        <f t="shared" si="49"/>
        <v>1</v>
      </c>
      <c r="AJ99" s="23">
        <f t="shared" si="50"/>
        <v>1.105693359375</v>
      </c>
      <c r="AK99" s="23">
        <f t="shared" si="51"/>
        <v>26.536640625</v>
      </c>
      <c r="AL99" s="23">
        <f t="shared" si="52"/>
        <v>39.804960937499999</v>
      </c>
      <c r="AM99" s="23">
        <f t="shared" si="53"/>
        <v>0</v>
      </c>
      <c r="AN99" s="23">
        <f t="shared" si="54"/>
        <v>39.804960937499999</v>
      </c>
      <c r="AQ99" s="32">
        <f t="shared" si="55"/>
        <v>42736</v>
      </c>
      <c r="AR99" s="32">
        <f t="shared" si="56"/>
        <v>42916</v>
      </c>
      <c r="AS99" s="51">
        <v>22</v>
      </c>
      <c r="AT99" s="1">
        <f t="shared" si="57"/>
        <v>181</v>
      </c>
      <c r="AU99" s="1">
        <f t="shared" si="58"/>
        <v>0</v>
      </c>
      <c r="AV99" s="1">
        <f t="shared" si="59"/>
        <v>0</v>
      </c>
      <c r="AW99" s="1">
        <f t="shared" si="60"/>
        <v>0</v>
      </c>
      <c r="AX99" s="1">
        <f t="shared" si="61"/>
        <v>0</v>
      </c>
      <c r="AY99" s="23">
        <f t="shared" si="62"/>
        <v>1</v>
      </c>
      <c r="AZ99" s="23">
        <f t="shared" si="63"/>
        <v>1.105693359375</v>
      </c>
      <c r="BA99" s="23">
        <f t="shared" si="64"/>
        <v>24.325253906250001</v>
      </c>
      <c r="BB99" s="23">
        <f t="shared" si="65"/>
        <v>36.487880859375004</v>
      </c>
      <c r="BC99" s="23">
        <f t="shared" si="66"/>
        <v>0</v>
      </c>
      <c r="BD99" s="23">
        <f t="shared" si="67"/>
        <v>36.487880859375004</v>
      </c>
    </row>
    <row r="100" spans="1:56">
      <c r="A100" s="1" t="s">
        <v>20</v>
      </c>
      <c r="B100" s="1" t="s">
        <v>32</v>
      </c>
      <c r="C100" s="1" t="s">
        <v>22</v>
      </c>
      <c r="D100" s="1" t="s">
        <v>33</v>
      </c>
      <c r="E100" s="51" t="s">
        <v>107</v>
      </c>
      <c r="F100" s="51" t="s">
        <v>108</v>
      </c>
      <c r="G100" s="51" t="s">
        <v>109</v>
      </c>
      <c r="H100" s="51" t="s">
        <v>110</v>
      </c>
      <c r="I100" s="1" t="s">
        <v>111</v>
      </c>
      <c r="J100" s="51" t="s">
        <v>112</v>
      </c>
      <c r="K100" s="51" t="s">
        <v>112</v>
      </c>
      <c r="L100" s="51" t="s">
        <v>112</v>
      </c>
      <c r="M100" s="1">
        <v>1858513</v>
      </c>
      <c r="N100" s="58" t="s">
        <v>388</v>
      </c>
      <c r="O100" s="55">
        <f t="shared" si="70"/>
        <v>41729</v>
      </c>
      <c r="P100" s="55">
        <f t="shared" si="71"/>
        <v>43008</v>
      </c>
      <c r="Q100" s="51">
        <v>2968</v>
      </c>
      <c r="S100" s="51">
        <v>2</v>
      </c>
      <c r="U100" s="1">
        <f t="shared" si="38"/>
        <v>1280</v>
      </c>
      <c r="V100" s="31">
        <f t="shared" si="39"/>
        <v>2.3187500000000001</v>
      </c>
      <c r="W100" s="31">
        <f t="shared" si="40"/>
        <v>846.34375</v>
      </c>
      <c r="X100" s="31">
        <f t="shared" si="41"/>
        <v>1.0579296874999999</v>
      </c>
      <c r="AA100" s="32">
        <f t="shared" si="42"/>
        <v>42552</v>
      </c>
      <c r="AB100" s="32">
        <f t="shared" si="43"/>
        <v>42735</v>
      </c>
      <c r="AC100" s="51">
        <v>24</v>
      </c>
      <c r="AD100" s="1">
        <f t="shared" si="44"/>
        <v>184</v>
      </c>
      <c r="AE100" s="1">
        <f t="shared" si="45"/>
        <v>0</v>
      </c>
      <c r="AF100" s="1">
        <f t="shared" si="46"/>
        <v>0</v>
      </c>
      <c r="AG100" s="1">
        <f t="shared" si="47"/>
        <v>0</v>
      </c>
      <c r="AH100" s="1">
        <f t="shared" si="48"/>
        <v>0</v>
      </c>
      <c r="AI100" s="23">
        <f t="shared" si="49"/>
        <v>1</v>
      </c>
      <c r="AJ100" s="23">
        <f t="shared" si="50"/>
        <v>1.0579296874999999</v>
      </c>
      <c r="AK100" s="23">
        <f t="shared" si="51"/>
        <v>25.3903125</v>
      </c>
      <c r="AL100" s="23">
        <f t="shared" si="52"/>
        <v>50.780625000000001</v>
      </c>
      <c r="AM100" s="23">
        <f t="shared" si="53"/>
        <v>0</v>
      </c>
      <c r="AN100" s="23">
        <f t="shared" si="54"/>
        <v>50.780625000000001</v>
      </c>
      <c r="AQ100" s="32">
        <f t="shared" si="55"/>
        <v>42736</v>
      </c>
      <c r="AR100" s="32">
        <f t="shared" si="56"/>
        <v>42916</v>
      </c>
      <c r="AS100" s="51">
        <v>23</v>
      </c>
      <c r="AT100" s="1">
        <f t="shared" si="57"/>
        <v>181</v>
      </c>
      <c r="AU100" s="1">
        <f t="shared" si="58"/>
        <v>0</v>
      </c>
      <c r="AV100" s="1">
        <f t="shared" si="59"/>
        <v>0</v>
      </c>
      <c r="AW100" s="1">
        <f t="shared" si="60"/>
        <v>0</v>
      </c>
      <c r="AX100" s="1">
        <f t="shared" si="61"/>
        <v>0</v>
      </c>
      <c r="AY100" s="23">
        <f t="shared" si="62"/>
        <v>1</v>
      </c>
      <c r="AZ100" s="23">
        <f t="shared" si="63"/>
        <v>1.0579296874999999</v>
      </c>
      <c r="BA100" s="23">
        <f t="shared" si="64"/>
        <v>24.332382812499997</v>
      </c>
      <c r="BB100" s="23">
        <f t="shared" si="65"/>
        <v>48.664765624999994</v>
      </c>
      <c r="BC100" s="23">
        <f t="shared" si="66"/>
        <v>0</v>
      </c>
      <c r="BD100" s="23">
        <f t="shared" si="67"/>
        <v>48.664765624999994</v>
      </c>
    </row>
    <row r="101" spans="1:56">
      <c r="A101" s="1" t="s">
        <v>20</v>
      </c>
      <c r="B101" s="1" t="s">
        <v>32</v>
      </c>
      <c r="C101" s="1" t="s">
        <v>22</v>
      </c>
      <c r="D101" s="1" t="s">
        <v>33</v>
      </c>
      <c r="E101" s="51" t="s">
        <v>107</v>
      </c>
      <c r="F101" s="51" t="s">
        <v>265</v>
      </c>
      <c r="G101" s="51" t="s">
        <v>109</v>
      </c>
      <c r="H101" s="51" t="s">
        <v>269</v>
      </c>
      <c r="I101" s="1" t="s">
        <v>125</v>
      </c>
      <c r="J101" s="51" t="s">
        <v>112</v>
      </c>
      <c r="K101" s="51" t="s">
        <v>112</v>
      </c>
      <c r="L101" s="51" t="s">
        <v>112</v>
      </c>
      <c r="M101" s="1">
        <v>1939405</v>
      </c>
      <c r="N101" s="50" t="s">
        <v>389</v>
      </c>
      <c r="O101" s="55">
        <f t="shared" si="70"/>
        <v>41729</v>
      </c>
      <c r="P101" s="55">
        <f>DATE(2018,9,30)</f>
        <v>43373</v>
      </c>
      <c r="Q101" s="51">
        <v>4260</v>
      </c>
      <c r="S101" s="51">
        <v>2.5</v>
      </c>
      <c r="U101" s="1">
        <f t="shared" si="38"/>
        <v>1645</v>
      </c>
      <c r="V101" s="31">
        <f t="shared" si="39"/>
        <v>2.5896656534954405</v>
      </c>
      <c r="W101" s="31">
        <f t="shared" si="40"/>
        <v>945.22796352583578</v>
      </c>
      <c r="X101" s="31">
        <f t="shared" si="41"/>
        <v>1.1815349544072946</v>
      </c>
      <c r="AA101" s="32">
        <f t="shared" si="42"/>
        <v>42552</v>
      </c>
      <c r="AB101" s="32">
        <f t="shared" si="43"/>
        <v>42735</v>
      </c>
      <c r="AC101" s="50">
        <v>13</v>
      </c>
      <c r="AD101" s="1">
        <f t="shared" si="44"/>
        <v>184</v>
      </c>
      <c r="AE101" s="1">
        <f t="shared" si="45"/>
        <v>0</v>
      </c>
      <c r="AF101" s="1">
        <f t="shared" si="46"/>
        <v>0</v>
      </c>
      <c r="AG101" s="1">
        <f t="shared" si="47"/>
        <v>0</v>
      </c>
      <c r="AH101" s="1">
        <f t="shared" si="48"/>
        <v>0</v>
      </c>
      <c r="AI101" s="23">
        <f t="shared" si="49"/>
        <v>1</v>
      </c>
      <c r="AJ101" s="23">
        <f t="shared" si="50"/>
        <v>1.1815349544072946</v>
      </c>
      <c r="AK101" s="23">
        <f t="shared" si="51"/>
        <v>15.359954407294829</v>
      </c>
      <c r="AL101" s="23">
        <f t="shared" si="52"/>
        <v>38.399886018237069</v>
      </c>
      <c r="AM101" s="23">
        <f t="shared" si="53"/>
        <v>0</v>
      </c>
      <c r="AN101" s="23">
        <f t="shared" si="54"/>
        <v>38.399886018237069</v>
      </c>
      <c r="AQ101" s="32">
        <f t="shared" si="55"/>
        <v>42736</v>
      </c>
      <c r="AR101" s="32">
        <f t="shared" si="56"/>
        <v>42916</v>
      </c>
      <c r="AS101" s="50">
        <v>12</v>
      </c>
      <c r="AT101" s="1">
        <f t="shared" si="57"/>
        <v>181</v>
      </c>
      <c r="AU101" s="1">
        <f t="shared" si="58"/>
        <v>0</v>
      </c>
      <c r="AV101" s="1">
        <f t="shared" si="59"/>
        <v>0</v>
      </c>
      <c r="AW101" s="1">
        <f t="shared" si="60"/>
        <v>0</v>
      </c>
      <c r="AX101" s="1">
        <f t="shared" si="61"/>
        <v>0</v>
      </c>
      <c r="AY101" s="23">
        <f t="shared" si="62"/>
        <v>1</v>
      </c>
      <c r="AZ101" s="23">
        <f t="shared" si="63"/>
        <v>1.1815349544072946</v>
      </c>
      <c r="BA101" s="23">
        <f t="shared" si="64"/>
        <v>14.178419452887535</v>
      </c>
      <c r="BB101" s="23">
        <f t="shared" si="65"/>
        <v>35.44604863221884</v>
      </c>
      <c r="BC101" s="23">
        <f t="shared" si="66"/>
        <v>0</v>
      </c>
      <c r="BD101" s="23">
        <f t="shared" si="67"/>
        <v>35.44604863221884</v>
      </c>
    </row>
    <row r="102" spans="1:56">
      <c r="A102" s="1" t="s">
        <v>20</v>
      </c>
      <c r="B102" s="1" t="s">
        <v>32</v>
      </c>
      <c r="C102" s="1" t="s">
        <v>22</v>
      </c>
      <c r="D102" s="1" t="s">
        <v>33</v>
      </c>
      <c r="E102" s="51" t="s">
        <v>107</v>
      </c>
      <c r="F102" s="51" t="s">
        <v>265</v>
      </c>
      <c r="G102" s="51" t="s">
        <v>109</v>
      </c>
      <c r="H102" s="51" t="s">
        <v>266</v>
      </c>
      <c r="I102" s="1" t="s">
        <v>111</v>
      </c>
      <c r="J102" s="51" t="s">
        <v>112</v>
      </c>
      <c r="K102" s="51" t="s">
        <v>112</v>
      </c>
      <c r="L102" s="51" t="s">
        <v>112</v>
      </c>
      <c r="M102" s="1">
        <v>1939406</v>
      </c>
      <c r="N102" s="50" t="s">
        <v>390</v>
      </c>
      <c r="O102" s="55">
        <f t="shared" si="70"/>
        <v>41729</v>
      </c>
      <c r="P102" s="55">
        <f>DATE(2019,3,31)</f>
        <v>43555</v>
      </c>
      <c r="Q102" s="51">
        <v>4380</v>
      </c>
      <c r="S102" s="51">
        <v>2.5</v>
      </c>
      <c r="U102" s="1">
        <f t="shared" si="38"/>
        <v>1827</v>
      </c>
      <c r="V102" s="31">
        <f t="shared" si="39"/>
        <v>2.3973727422003286</v>
      </c>
      <c r="W102" s="31">
        <f t="shared" si="40"/>
        <v>875.04105090311998</v>
      </c>
      <c r="X102" s="31">
        <f t="shared" si="41"/>
        <v>1.0938013136289</v>
      </c>
      <c r="AA102" s="32">
        <f t="shared" si="42"/>
        <v>42552</v>
      </c>
      <c r="AB102" s="32">
        <f t="shared" si="43"/>
        <v>42735</v>
      </c>
      <c r="AC102" s="50">
        <v>14</v>
      </c>
      <c r="AD102" s="1">
        <f t="shared" si="44"/>
        <v>184</v>
      </c>
      <c r="AE102" s="1">
        <f t="shared" si="45"/>
        <v>0</v>
      </c>
      <c r="AF102" s="1">
        <f t="shared" si="46"/>
        <v>0</v>
      </c>
      <c r="AG102" s="1">
        <f t="shared" si="47"/>
        <v>0</v>
      </c>
      <c r="AH102" s="1">
        <f t="shared" si="48"/>
        <v>0</v>
      </c>
      <c r="AI102" s="23">
        <f t="shared" si="49"/>
        <v>1</v>
      </c>
      <c r="AJ102" s="23">
        <f t="shared" si="50"/>
        <v>1.0938013136289</v>
      </c>
      <c r="AK102" s="23">
        <f t="shared" si="51"/>
        <v>15.3132183908046</v>
      </c>
      <c r="AL102" s="23">
        <f t="shared" si="52"/>
        <v>38.283045977011497</v>
      </c>
      <c r="AM102" s="23">
        <f t="shared" si="53"/>
        <v>0</v>
      </c>
      <c r="AN102" s="23">
        <f t="shared" si="54"/>
        <v>38.283045977011497</v>
      </c>
      <c r="AQ102" s="32">
        <f t="shared" si="55"/>
        <v>42736</v>
      </c>
      <c r="AR102" s="32">
        <f t="shared" si="56"/>
        <v>42916</v>
      </c>
      <c r="AS102" s="50">
        <v>14</v>
      </c>
      <c r="AT102" s="1">
        <f t="shared" si="57"/>
        <v>181</v>
      </c>
      <c r="AU102" s="1">
        <f t="shared" si="58"/>
        <v>0</v>
      </c>
      <c r="AV102" s="1">
        <f t="shared" si="59"/>
        <v>0</v>
      </c>
      <c r="AW102" s="1">
        <f t="shared" si="60"/>
        <v>0</v>
      </c>
      <c r="AX102" s="1">
        <f t="shared" si="61"/>
        <v>0</v>
      </c>
      <c r="AY102" s="23">
        <f t="shared" si="62"/>
        <v>1</v>
      </c>
      <c r="AZ102" s="23">
        <f t="shared" si="63"/>
        <v>1.0938013136289</v>
      </c>
      <c r="BA102" s="23">
        <f t="shared" si="64"/>
        <v>15.3132183908046</v>
      </c>
      <c r="BB102" s="23">
        <f t="shared" si="65"/>
        <v>38.283045977011497</v>
      </c>
      <c r="BC102" s="23">
        <f t="shared" si="66"/>
        <v>0</v>
      </c>
      <c r="BD102" s="23">
        <f t="shared" si="67"/>
        <v>38.283045977011497</v>
      </c>
    </row>
    <row r="103" spans="1:56">
      <c r="A103" s="1" t="s">
        <v>20</v>
      </c>
      <c r="B103" s="1" t="s">
        <v>32</v>
      </c>
      <c r="C103" s="1" t="s">
        <v>22</v>
      </c>
      <c r="D103" s="1" t="s">
        <v>33</v>
      </c>
      <c r="E103" s="51" t="s">
        <v>107</v>
      </c>
      <c r="F103" s="51" t="s">
        <v>114</v>
      </c>
      <c r="G103" s="51" t="s">
        <v>109</v>
      </c>
      <c r="H103" s="51" t="s">
        <v>311</v>
      </c>
      <c r="I103" s="1" t="s">
        <v>111</v>
      </c>
      <c r="J103" s="51" t="s">
        <v>112</v>
      </c>
      <c r="K103" s="51" t="s">
        <v>112</v>
      </c>
      <c r="L103" s="51" t="s">
        <v>112</v>
      </c>
      <c r="M103" s="1">
        <v>1939407</v>
      </c>
      <c r="N103" s="51" t="s">
        <v>391</v>
      </c>
      <c r="O103" s="55">
        <f t="shared" si="70"/>
        <v>41729</v>
      </c>
      <c r="P103" s="55">
        <f>DATE(2017,3,31)</f>
        <v>42825</v>
      </c>
      <c r="Q103" s="51">
        <v>3460</v>
      </c>
      <c r="S103" s="51">
        <v>2.5</v>
      </c>
      <c r="U103" s="1">
        <f t="shared" si="38"/>
        <v>1097</v>
      </c>
      <c r="V103" s="31">
        <f t="shared" si="39"/>
        <v>3.1540565177757522</v>
      </c>
      <c r="W103" s="31">
        <f t="shared" si="40"/>
        <v>1151.2306289881496</v>
      </c>
      <c r="X103" s="31">
        <f t="shared" si="41"/>
        <v>1.4390382862351871</v>
      </c>
      <c r="AA103" s="32">
        <f t="shared" si="42"/>
        <v>42552</v>
      </c>
      <c r="AB103" s="32">
        <f t="shared" si="43"/>
        <v>42735</v>
      </c>
      <c r="AC103" s="51">
        <v>30</v>
      </c>
      <c r="AD103" s="1">
        <f t="shared" si="44"/>
        <v>184</v>
      </c>
      <c r="AE103" s="1">
        <f t="shared" si="45"/>
        <v>0</v>
      </c>
      <c r="AF103" s="1">
        <f t="shared" si="46"/>
        <v>0</v>
      </c>
      <c r="AG103" s="1">
        <f t="shared" si="47"/>
        <v>0</v>
      </c>
      <c r="AH103" s="1">
        <f t="shared" si="48"/>
        <v>0</v>
      </c>
      <c r="AI103" s="23">
        <f t="shared" si="49"/>
        <v>1</v>
      </c>
      <c r="AJ103" s="23">
        <f t="shared" si="50"/>
        <v>1.4390382862351871</v>
      </c>
      <c r="AK103" s="23">
        <f t="shared" si="51"/>
        <v>43.171148587055612</v>
      </c>
      <c r="AL103" s="23">
        <f t="shared" si="52"/>
        <v>107.92787146763902</v>
      </c>
      <c r="AM103" s="23">
        <f t="shared" si="53"/>
        <v>0</v>
      </c>
      <c r="AN103" s="23">
        <f t="shared" si="54"/>
        <v>107.92787146763902</v>
      </c>
      <c r="AQ103" s="32">
        <f t="shared" si="55"/>
        <v>42736</v>
      </c>
      <c r="AR103" s="32">
        <f t="shared" si="56"/>
        <v>42916</v>
      </c>
      <c r="AS103" s="51">
        <v>30</v>
      </c>
      <c r="AT103" s="1">
        <f t="shared" si="57"/>
        <v>0</v>
      </c>
      <c r="AU103" s="1">
        <f t="shared" si="58"/>
        <v>0</v>
      </c>
      <c r="AV103" s="1">
        <f t="shared" si="59"/>
        <v>90</v>
      </c>
      <c r="AW103" s="1">
        <f t="shared" si="60"/>
        <v>0</v>
      </c>
      <c r="AX103" s="1">
        <f t="shared" si="61"/>
        <v>0</v>
      </c>
      <c r="AY103" s="23">
        <f t="shared" si="62"/>
        <v>0.49723756906077349</v>
      </c>
      <c r="AZ103" s="23">
        <f t="shared" si="63"/>
        <v>0.71554389923296602</v>
      </c>
      <c r="BA103" s="23">
        <f t="shared" si="64"/>
        <v>21.466316976988981</v>
      </c>
      <c r="BB103" s="23">
        <f t="shared" si="65"/>
        <v>53.665792442472451</v>
      </c>
      <c r="BC103" s="23">
        <f t="shared" si="66"/>
        <v>0</v>
      </c>
      <c r="BD103" s="23">
        <f t="shared" si="67"/>
        <v>53.665792442472451</v>
      </c>
    </row>
    <row r="104" spans="1:56">
      <c r="A104" s="1" t="s">
        <v>20</v>
      </c>
      <c r="B104" s="1" t="s">
        <v>32</v>
      </c>
      <c r="C104" s="1" t="s">
        <v>22</v>
      </c>
      <c r="D104" s="1" t="s">
        <v>33</v>
      </c>
      <c r="E104" s="51" t="s">
        <v>107</v>
      </c>
      <c r="F104" s="51" t="s">
        <v>114</v>
      </c>
      <c r="G104" s="51" t="s">
        <v>109</v>
      </c>
      <c r="H104" s="51" t="s">
        <v>308</v>
      </c>
      <c r="I104" s="1" t="s">
        <v>309</v>
      </c>
      <c r="J104" s="51" t="s">
        <v>112</v>
      </c>
      <c r="K104" s="51" t="s">
        <v>112</v>
      </c>
      <c r="L104" s="51" t="s">
        <v>112</v>
      </c>
      <c r="M104" s="1">
        <v>1939410</v>
      </c>
      <c r="N104" s="51" t="s">
        <v>392</v>
      </c>
      <c r="O104" s="55">
        <f t="shared" si="70"/>
        <v>41729</v>
      </c>
      <c r="P104" s="55">
        <f>DATE(2017,3,31)</f>
        <v>42825</v>
      </c>
      <c r="Q104" s="51">
        <v>3700</v>
      </c>
      <c r="S104" s="51">
        <v>2.5</v>
      </c>
      <c r="U104" s="1">
        <f t="shared" si="38"/>
        <v>1097</v>
      </c>
      <c r="V104" s="31">
        <f t="shared" si="39"/>
        <v>3.372835004557885</v>
      </c>
      <c r="W104" s="31">
        <f t="shared" si="40"/>
        <v>1231.084776663628</v>
      </c>
      <c r="X104" s="31">
        <f t="shared" si="41"/>
        <v>1.5388559708295348</v>
      </c>
      <c r="AA104" s="32">
        <f t="shared" si="42"/>
        <v>42552</v>
      </c>
      <c r="AB104" s="32">
        <f t="shared" si="43"/>
        <v>42735</v>
      </c>
      <c r="AC104" s="51">
        <v>27</v>
      </c>
      <c r="AD104" s="1">
        <f t="shared" si="44"/>
        <v>184</v>
      </c>
      <c r="AE104" s="1">
        <f t="shared" si="45"/>
        <v>0</v>
      </c>
      <c r="AF104" s="1">
        <f t="shared" si="46"/>
        <v>0</v>
      </c>
      <c r="AG104" s="1">
        <f t="shared" si="47"/>
        <v>0</v>
      </c>
      <c r="AH104" s="1">
        <f t="shared" si="48"/>
        <v>0</v>
      </c>
      <c r="AI104" s="23">
        <f t="shared" si="49"/>
        <v>1</v>
      </c>
      <c r="AJ104" s="23">
        <f t="shared" si="50"/>
        <v>1.5388559708295348</v>
      </c>
      <c r="AK104" s="23">
        <f t="shared" si="51"/>
        <v>41.549111212397442</v>
      </c>
      <c r="AL104" s="23">
        <f t="shared" si="52"/>
        <v>103.8727780309936</v>
      </c>
      <c r="AM104" s="23">
        <f t="shared" si="53"/>
        <v>0</v>
      </c>
      <c r="AN104" s="23">
        <f t="shared" si="54"/>
        <v>103.8727780309936</v>
      </c>
      <c r="AQ104" s="32">
        <f t="shared" si="55"/>
        <v>42736</v>
      </c>
      <c r="AR104" s="32">
        <f t="shared" si="56"/>
        <v>42916</v>
      </c>
      <c r="AS104" s="51">
        <v>27</v>
      </c>
      <c r="AT104" s="1">
        <f t="shared" si="57"/>
        <v>0</v>
      </c>
      <c r="AU104" s="1">
        <f t="shared" si="58"/>
        <v>0</v>
      </c>
      <c r="AV104" s="1">
        <f t="shared" si="59"/>
        <v>90</v>
      </c>
      <c r="AW104" s="1">
        <f t="shared" si="60"/>
        <v>0</v>
      </c>
      <c r="AX104" s="1">
        <f t="shared" si="61"/>
        <v>0</v>
      </c>
      <c r="AY104" s="23">
        <f t="shared" si="62"/>
        <v>0.49723756906077349</v>
      </c>
      <c r="AZ104" s="23">
        <f t="shared" si="63"/>
        <v>0.76517700206993444</v>
      </c>
      <c r="BA104" s="23">
        <f t="shared" si="64"/>
        <v>20.659779055888229</v>
      </c>
      <c r="BB104" s="23">
        <f t="shared" si="65"/>
        <v>51.649447639720577</v>
      </c>
      <c r="BC104" s="23">
        <f t="shared" si="66"/>
        <v>0</v>
      </c>
      <c r="BD104" s="23">
        <f t="shared" si="67"/>
        <v>51.649447639720577</v>
      </c>
    </row>
    <row r="105" spans="1:56">
      <c r="A105" s="1" t="s">
        <v>20</v>
      </c>
      <c r="B105" s="1" t="s">
        <v>32</v>
      </c>
      <c r="C105" s="1" t="s">
        <v>22</v>
      </c>
      <c r="D105" s="1" t="s">
        <v>33</v>
      </c>
      <c r="E105" s="51" t="s">
        <v>107</v>
      </c>
      <c r="F105" s="51" t="s">
        <v>265</v>
      </c>
      <c r="G105" s="51" t="s">
        <v>109</v>
      </c>
      <c r="H105" s="51" t="s">
        <v>269</v>
      </c>
      <c r="I105" s="1" t="s">
        <v>125</v>
      </c>
      <c r="J105" s="51" t="s">
        <v>112</v>
      </c>
      <c r="K105" s="51" t="s">
        <v>112</v>
      </c>
      <c r="L105" s="51" t="s">
        <v>112</v>
      </c>
      <c r="M105" s="1">
        <v>1939654</v>
      </c>
      <c r="N105" s="51" t="s">
        <v>393</v>
      </c>
      <c r="O105" s="55">
        <f t="shared" ref="O105:O137" si="72">DATE(2013,4,29)</f>
        <v>41393</v>
      </c>
      <c r="P105" s="55">
        <f>DATE(2017,10,31)</f>
        <v>43039</v>
      </c>
      <c r="Q105" s="51">
        <v>4260</v>
      </c>
      <c r="S105" s="51">
        <v>2.5</v>
      </c>
      <c r="U105" s="1">
        <f t="shared" si="38"/>
        <v>1647</v>
      </c>
      <c r="V105" s="31">
        <f t="shared" si="39"/>
        <v>2.5865209471766848</v>
      </c>
      <c r="W105" s="31">
        <f t="shared" si="40"/>
        <v>944.08014571948991</v>
      </c>
      <c r="X105" s="31">
        <f t="shared" si="41"/>
        <v>1.1801001821493624</v>
      </c>
      <c r="AA105" s="32">
        <f t="shared" si="42"/>
        <v>42552</v>
      </c>
      <c r="AB105" s="32">
        <f t="shared" si="43"/>
        <v>42735</v>
      </c>
      <c r="AC105" s="51">
        <v>12</v>
      </c>
      <c r="AD105" s="1">
        <f t="shared" si="44"/>
        <v>184</v>
      </c>
      <c r="AE105" s="1">
        <f t="shared" si="45"/>
        <v>0</v>
      </c>
      <c r="AF105" s="1">
        <f t="shared" si="46"/>
        <v>0</v>
      </c>
      <c r="AG105" s="1">
        <f t="shared" si="47"/>
        <v>0</v>
      </c>
      <c r="AH105" s="1">
        <f t="shared" si="48"/>
        <v>0</v>
      </c>
      <c r="AI105" s="23">
        <f t="shared" si="49"/>
        <v>1</v>
      </c>
      <c r="AJ105" s="23">
        <f t="shared" si="50"/>
        <v>1.1801001821493624</v>
      </c>
      <c r="AK105" s="23">
        <f t="shared" si="51"/>
        <v>14.161202185792348</v>
      </c>
      <c r="AL105" s="23">
        <f t="shared" si="52"/>
        <v>35.40300546448087</v>
      </c>
      <c r="AM105" s="23">
        <f t="shared" si="53"/>
        <v>0</v>
      </c>
      <c r="AN105" s="23">
        <f t="shared" si="54"/>
        <v>35.40300546448087</v>
      </c>
      <c r="AQ105" s="32">
        <f t="shared" si="55"/>
        <v>42736</v>
      </c>
      <c r="AR105" s="32">
        <f t="shared" si="56"/>
        <v>42916</v>
      </c>
      <c r="AS105" s="51">
        <v>12</v>
      </c>
      <c r="AT105" s="1">
        <f t="shared" si="57"/>
        <v>181</v>
      </c>
      <c r="AU105" s="1">
        <f t="shared" si="58"/>
        <v>0</v>
      </c>
      <c r="AV105" s="1">
        <f t="shared" si="59"/>
        <v>0</v>
      </c>
      <c r="AW105" s="1">
        <f t="shared" si="60"/>
        <v>0</v>
      </c>
      <c r="AX105" s="1">
        <f t="shared" si="61"/>
        <v>0</v>
      </c>
      <c r="AY105" s="23">
        <f t="shared" si="62"/>
        <v>1</v>
      </c>
      <c r="AZ105" s="23">
        <f t="shared" si="63"/>
        <v>1.1801001821493624</v>
      </c>
      <c r="BA105" s="23">
        <f t="shared" si="64"/>
        <v>14.161202185792348</v>
      </c>
      <c r="BB105" s="23">
        <f t="shared" si="65"/>
        <v>35.40300546448087</v>
      </c>
      <c r="BC105" s="23">
        <f t="shared" si="66"/>
        <v>0</v>
      </c>
      <c r="BD105" s="23">
        <f t="shared" si="67"/>
        <v>35.40300546448087</v>
      </c>
    </row>
    <row r="106" spans="1:56">
      <c r="A106" s="1" t="s">
        <v>20</v>
      </c>
      <c r="B106" s="1" t="s">
        <v>32</v>
      </c>
      <c r="C106" s="1" t="s">
        <v>22</v>
      </c>
      <c r="D106" s="1" t="s">
        <v>33</v>
      </c>
      <c r="E106" s="51" t="s">
        <v>107</v>
      </c>
      <c r="F106" s="51" t="s">
        <v>114</v>
      </c>
      <c r="G106" s="51" t="s">
        <v>109</v>
      </c>
      <c r="H106" s="51" t="s">
        <v>311</v>
      </c>
      <c r="I106" s="1" t="s">
        <v>111</v>
      </c>
      <c r="J106" s="51" t="s">
        <v>112</v>
      </c>
      <c r="K106" s="51" t="s">
        <v>112</v>
      </c>
      <c r="L106" s="51" t="s">
        <v>112</v>
      </c>
      <c r="M106" s="1">
        <v>1939661</v>
      </c>
      <c r="N106" s="50" t="s">
        <v>394</v>
      </c>
      <c r="O106" s="55">
        <f t="shared" si="72"/>
        <v>41393</v>
      </c>
      <c r="P106" s="55">
        <f>DATE(2016,4,30)</f>
        <v>42490</v>
      </c>
      <c r="Q106" s="51">
        <v>3460</v>
      </c>
      <c r="S106" s="51">
        <v>2.5</v>
      </c>
      <c r="U106" s="1">
        <f t="shared" si="38"/>
        <v>1098</v>
      </c>
      <c r="V106" s="31">
        <f t="shared" si="39"/>
        <v>3.1511839708561018</v>
      </c>
      <c r="W106" s="31">
        <f t="shared" si="40"/>
        <v>1150.182149362477</v>
      </c>
      <c r="X106" s="31">
        <f t="shared" si="41"/>
        <v>1.4377276867030964</v>
      </c>
      <c r="AA106" s="32">
        <f t="shared" si="42"/>
        <v>42552</v>
      </c>
      <c r="AB106" s="32">
        <f t="shared" si="43"/>
        <v>42735</v>
      </c>
      <c r="AC106" s="50">
        <v>21</v>
      </c>
      <c r="AD106" s="1">
        <f t="shared" si="44"/>
        <v>0</v>
      </c>
      <c r="AE106" s="1">
        <f t="shared" si="45"/>
        <v>0</v>
      </c>
      <c r="AF106" s="1">
        <f t="shared" si="46"/>
        <v>0</v>
      </c>
      <c r="AG106" s="1">
        <f t="shared" si="47"/>
        <v>0</v>
      </c>
      <c r="AH106" s="1">
        <f t="shared" si="48"/>
        <v>92</v>
      </c>
      <c r="AI106" s="23">
        <f t="shared" si="49"/>
        <v>0.5</v>
      </c>
      <c r="AJ106" s="23">
        <f t="shared" si="50"/>
        <v>0.71886384335154818</v>
      </c>
      <c r="AK106" s="23">
        <f t="shared" si="51"/>
        <v>7.548070355191256</v>
      </c>
      <c r="AL106" s="23">
        <f t="shared" si="52"/>
        <v>18.870175887978139</v>
      </c>
      <c r="AM106" s="23">
        <f t="shared" si="53"/>
        <v>0</v>
      </c>
      <c r="AN106" s="23">
        <f t="shared" si="54"/>
        <v>18.870175887978139</v>
      </c>
      <c r="AQ106" s="32">
        <f t="shared" si="55"/>
        <v>42736</v>
      </c>
      <c r="AR106" s="32">
        <f t="shared" si="56"/>
        <v>42916</v>
      </c>
      <c r="AS106" s="50">
        <v>8</v>
      </c>
      <c r="AT106" s="1">
        <f t="shared" si="57"/>
        <v>0</v>
      </c>
      <c r="AU106" s="1">
        <f t="shared" si="58"/>
        <v>0</v>
      </c>
      <c r="AV106" s="1">
        <f t="shared" si="59"/>
        <v>0</v>
      </c>
      <c r="AW106" s="1">
        <f t="shared" si="60"/>
        <v>0</v>
      </c>
      <c r="AX106" s="1">
        <f t="shared" si="61"/>
        <v>90.5</v>
      </c>
      <c r="AY106" s="23">
        <f t="shared" si="62"/>
        <v>0.5</v>
      </c>
      <c r="AZ106" s="23">
        <f t="shared" si="63"/>
        <v>0.71886384335154818</v>
      </c>
      <c r="BA106" s="23">
        <f t="shared" si="64"/>
        <v>2.8754553734061927</v>
      </c>
      <c r="BB106" s="23">
        <f t="shared" si="65"/>
        <v>7.1886384335154823</v>
      </c>
      <c r="BC106" s="23">
        <f t="shared" si="66"/>
        <v>0</v>
      </c>
      <c r="BD106" s="23">
        <f t="shared" si="67"/>
        <v>7.1886384335154823</v>
      </c>
    </row>
    <row r="107" spans="1:56">
      <c r="A107" s="1" t="s">
        <v>20</v>
      </c>
      <c r="B107" s="1" t="s">
        <v>32</v>
      </c>
      <c r="C107" s="1" t="s">
        <v>22</v>
      </c>
      <c r="D107" s="1" t="s">
        <v>33</v>
      </c>
      <c r="E107" s="51" t="s">
        <v>107</v>
      </c>
      <c r="F107" s="51" t="s">
        <v>114</v>
      </c>
      <c r="G107" s="51" t="s">
        <v>109</v>
      </c>
      <c r="H107" s="51" t="s">
        <v>313</v>
      </c>
      <c r="I107" s="1" t="s">
        <v>116</v>
      </c>
      <c r="J107" s="51" t="s">
        <v>112</v>
      </c>
      <c r="K107" s="51" t="s">
        <v>112</v>
      </c>
      <c r="L107" s="51" t="s">
        <v>112</v>
      </c>
      <c r="M107" s="1">
        <v>1939662</v>
      </c>
      <c r="N107" s="50" t="s">
        <v>395</v>
      </c>
      <c r="O107" s="55">
        <f t="shared" si="72"/>
        <v>41393</v>
      </c>
      <c r="P107" s="55">
        <f>DATE(2016,4,30)</f>
        <v>42490</v>
      </c>
      <c r="Q107" s="51">
        <v>3220</v>
      </c>
      <c r="S107" s="51">
        <v>2.5</v>
      </c>
      <c r="U107" s="1">
        <f t="shared" si="38"/>
        <v>1098</v>
      </c>
      <c r="V107" s="31">
        <f t="shared" si="39"/>
        <v>2.9326047358834244</v>
      </c>
      <c r="W107" s="31">
        <f t="shared" si="40"/>
        <v>1070.4007285974499</v>
      </c>
      <c r="X107" s="31">
        <f t="shared" si="41"/>
        <v>1.3380009107468123</v>
      </c>
      <c r="AA107" s="32">
        <f t="shared" si="42"/>
        <v>42552</v>
      </c>
      <c r="AB107" s="32">
        <f t="shared" si="43"/>
        <v>42735</v>
      </c>
      <c r="AC107" s="50">
        <v>26</v>
      </c>
      <c r="AD107" s="1">
        <f t="shared" si="44"/>
        <v>0</v>
      </c>
      <c r="AE107" s="1">
        <f t="shared" si="45"/>
        <v>0</v>
      </c>
      <c r="AF107" s="1">
        <f t="shared" si="46"/>
        <v>0</v>
      </c>
      <c r="AG107" s="1">
        <f t="shared" si="47"/>
        <v>0</v>
      </c>
      <c r="AH107" s="1">
        <f t="shared" si="48"/>
        <v>92</v>
      </c>
      <c r="AI107" s="23">
        <f t="shared" si="49"/>
        <v>0.5</v>
      </c>
      <c r="AJ107" s="23">
        <f t="shared" si="50"/>
        <v>0.66900045537340613</v>
      </c>
      <c r="AK107" s="23">
        <f t="shared" si="51"/>
        <v>8.6970059198542806</v>
      </c>
      <c r="AL107" s="23">
        <f t="shared" si="52"/>
        <v>21.7425147996357</v>
      </c>
      <c r="AM107" s="23">
        <f t="shared" si="53"/>
        <v>0</v>
      </c>
      <c r="AN107" s="23">
        <f t="shared" si="54"/>
        <v>21.7425147996357</v>
      </c>
      <c r="AQ107" s="32">
        <f t="shared" si="55"/>
        <v>42736</v>
      </c>
      <c r="AR107" s="32">
        <f t="shared" si="56"/>
        <v>42916</v>
      </c>
      <c r="AS107" s="50">
        <v>23</v>
      </c>
      <c r="AT107" s="1">
        <f t="shared" si="57"/>
        <v>0</v>
      </c>
      <c r="AU107" s="1">
        <f t="shared" si="58"/>
        <v>0</v>
      </c>
      <c r="AV107" s="1">
        <f t="shared" si="59"/>
        <v>0</v>
      </c>
      <c r="AW107" s="1">
        <f t="shared" si="60"/>
        <v>0</v>
      </c>
      <c r="AX107" s="1">
        <f t="shared" si="61"/>
        <v>90.5</v>
      </c>
      <c r="AY107" s="23">
        <f t="shared" si="62"/>
        <v>0.5</v>
      </c>
      <c r="AZ107" s="23">
        <f t="shared" si="63"/>
        <v>0.66900045537340613</v>
      </c>
      <c r="BA107" s="23">
        <f t="shared" si="64"/>
        <v>7.6935052367941701</v>
      </c>
      <c r="BB107" s="23">
        <f t="shared" si="65"/>
        <v>19.233763091985423</v>
      </c>
      <c r="BC107" s="23">
        <f t="shared" si="66"/>
        <v>0</v>
      </c>
      <c r="BD107" s="23">
        <f t="shared" si="67"/>
        <v>19.233763091985423</v>
      </c>
    </row>
    <row r="108" spans="1:56">
      <c r="A108" s="1" t="s">
        <v>20</v>
      </c>
      <c r="B108" s="1" t="s">
        <v>32</v>
      </c>
      <c r="C108" s="1" t="s">
        <v>22</v>
      </c>
      <c r="D108" s="1" t="s">
        <v>33</v>
      </c>
      <c r="E108" s="51" t="s">
        <v>107</v>
      </c>
      <c r="F108" s="51" t="s">
        <v>108</v>
      </c>
      <c r="G108" s="51" t="s">
        <v>109</v>
      </c>
      <c r="H108" s="51" t="s">
        <v>156</v>
      </c>
      <c r="I108" s="1" t="s">
        <v>128</v>
      </c>
      <c r="J108" s="51" t="s">
        <v>112</v>
      </c>
      <c r="K108" s="51" t="s">
        <v>112</v>
      </c>
      <c r="L108" s="51" t="s">
        <v>112</v>
      </c>
      <c r="M108" s="1">
        <v>1939663</v>
      </c>
      <c r="N108" s="50" t="s">
        <v>396</v>
      </c>
      <c r="O108" s="55">
        <f t="shared" si="72"/>
        <v>41393</v>
      </c>
      <c r="P108" s="55">
        <f>DATE(2015,4,30)</f>
        <v>42124</v>
      </c>
      <c r="Q108" s="51">
        <v>1200</v>
      </c>
      <c r="S108" s="51">
        <v>2.5</v>
      </c>
      <c r="U108" s="1">
        <f t="shared" si="38"/>
        <v>732</v>
      </c>
      <c r="V108" s="31">
        <f t="shared" si="39"/>
        <v>1.639344262295082</v>
      </c>
      <c r="W108" s="31">
        <f t="shared" si="40"/>
        <v>598.36065573770497</v>
      </c>
      <c r="X108" s="31">
        <f t="shared" si="41"/>
        <v>0.74795081967213117</v>
      </c>
      <c r="AA108" s="32">
        <f t="shared" si="42"/>
        <v>42552</v>
      </c>
      <c r="AB108" s="32">
        <f t="shared" si="43"/>
        <v>42735</v>
      </c>
      <c r="AC108" s="50">
        <v>10</v>
      </c>
      <c r="AD108" s="1">
        <f t="shared" si="44"/>
        <v>0</v>
      </c>
      <c r="AE108" s="1">
        <f t="shared" si="45"/>
        <v>0</v>
      </c>
      <c r="AF108" s="1">
        <f t="shared" si="46"/>
        <v>0</v>
      </c>
      <c r="AG108" s="1">
        <f t="shared" si="47"/>
        <v>0</v>
      </c>
      <c r="AH108" s="1">
        <f t="shared" si="48"/>
        <v>92</v>
      </c>
      <c r="AI108" s="23">
        <f t="shared" si="49"/>
        <v>0.5</v>
      </c>
      <c r="AJ108" s="23">
        <f t="shared" si="50"/>
        <v>0.37397540983606559</v>
      </c>
      <c r="AK108" s="23">
        <f t="shared" si="51"/>
        <v>1.869877049180328</v>
      </c>
      <c r="AL108" s="23">
        <f t="shared" si="52"/>
        <v>4.6746926229508201</v>
      </c>
      <c r="AM108" s="23">
        <f t="shared" si="53"/>
        <v>0</v>
      </c>
      <c r="AN108" s="23">
        <f t="shared" si="54"/>
        <v>4.6746926229508201</v>
      </c>
      <c r="AQ108" s="32">
        <f t="shared" si="55"/>
        <v>42736</v>
      </c>
      <c r="AR108" s="32">
        <f t="shared" si="56"/>
        <v>42916</v>
      </c>
      <c r="AS108" s="50">
        <v>9</v>
      </c>
      <c r="AT108" s="1">
        <f t="shared" si="57"/>
        <v>0</v>
      </c>
      <c r="AU108" s="1">
        <f t="shared" si="58"/>
        <v>0</v>
      </c>
      <c r="AV108" s="1">
        <f t="shared" si="59"/>
        <v>0</v>
      </c>
      <c r="AW108" s="1">
        <f t="shared" si="60"/>
        <v>0</v>
      </c>
      <c r="AX108" s="1">
        <f t="shared" si="61"/>
        <v>90.5</v>
      </c>
      <c r="AY108" s="23">
        <f t="shared" si="62"/>
        <v>0.5</v>
      </c>
      <c r="AZ108" s="23">
        <f t="shared" si="63"/>
        <v>0.37397540983606559</v>
      </c>
      <c r="BA108" s="23">
        <f t="shared" si="64"/>
        <v>1.6828893442622952</v>
      </c>
      <c r="BB108" s="23">
        <f t="shared" si="65"/>
        <v>4.2072233606557381</v>
      </c>
      <c r="BC108" s="23">
        <f t="shared" si="66"/>
        <v>0</v>
      </c>
      <c r="BD108" s="23">
        <f t="shared" si="67"/>
        <v>4.2072233606557381</v>
      </c>
    </row>
    <row r="109" spans="1:56">
      <c r="A109" s="1" t="s">
        <v>20</v>
      </c>
      <c r="B109" s="1" t="s">
        <v>32</v>
      </c>
      <c r="C109" s="1" t="s">
        <v>22</v>
      </c>
      <c r="D109" s="1" t="s">
        <v>33</v>
      </c>
      <c r="E109" s="51" t="s">
        <v>107</v>
      </c>
      <c r="F109" s="51" t="s">
        <v>108</v>
      </c>
      <c r="G109" s="51" t="s">
        <v>109</v>
      </c>
      <c r="H109" s="51" t="s">
        <v>273</v>
      </c>
      <c r="I109" s="1" t="s">
        <v>128</v>
      </c>
      <c r="J109" s="51" t="s">
        <v>112</v>
      </c>
      <c r="K109" s="51" t="s">
        <v>112</v>
      </c>
      <c r="L109" s="51" t="s">
        <v>112</v>
      </c>
      <c r="M109" s="1">
        <v>1939664</v>
      </c>
      <c r="N109" s="50" t="s">
        <v>397</v>
      </c>
      <c r="O109" s="55">
        <f t="shared" si="72"/>
        <v>41393</v>
      </c>
      <c r="P109" s="55">
        <f>DATE(2015,4,30)</f>
        <v>42124</v>
      </c>
      <c r="Q109" s="51">
        <v>1200</v>
      </c>
      <c r="S109" s="51">
        <v>2.5</v>
      </c>
      <c r="U109" s="1">
        <f t="shared" si="38"/>
        <v>732</v>
      </c>
      <c r="V109" s="31">
        <f t="shared" si="39"/>
        <v>1.639344262295082</v>
      </c>
      <c r="W109" s="31">
        <f t="shared" si="40"/>
        <v>598.36065573770497</v>
      </c>
      <c r="X109" s="31">
        <f t="shared" si="41"/>
        <v>0.74795081967213117</v>
      </c>
      <c r="AA109" s="32">
        <f t="shared" si="42"/>
        <v>42552</v>
      </c>
      <c r="AB109" s="32">
        <f t="shared" si="43"/>
        <v>42735</v>
      </c>
      <c r="AC109" s="50">
        <v>10</v>
      </c>
      <c r="AD109" s="1">
        <f t="shared" si="44"/>
        <v>0</v>
      </c>
      <c r="AE109" s="1">
        <f t="shared" si="45"/>
        <v>0</v>
      </c>
      <c r="AF109" s="1">
        <f t="shared" si="46"/>
        <v>0</v>
      </c>
      <c r="AG109" s="1">
        <f t="shared" si="47"/>
        <v>0</v>
      </c>
      <c r="AH109" s="1">
        <f t="shared" si="48"/>
        <v>92</v>
      </c>
      <c r="AI109" s="23">
        <f t="shared" si="49"/>
        <v>0.5</v>
      </c>
      <c r="AJ109" s="23">
        <f t="shared" si="50"/>
        <v>0.37397540983606559</v>
      </c>
      <c r="AK109" s="23">
        <f t="shared" si="51"/>
        <v>1.869877049180328</v>
      </c>
      <c r="AL109" s="23">
        <f t="shared" si="52"/>
        <v>4.6746926229508201</v>
      </c>
      <c r="AM109" s="23">
        <f t="shared" si="53"/>
        <v>0</v>
      </c>
      <c r="AN109" s="23">
        <f t="shared" si="54"/>
        <v>4.6746926229508201</v>
      </c>
      <c r="AQ109" s="32">
        <f t="shared" si="55"/>
        <v>42736</v>
      </c>
      <c r="AR109" s="32">
        <f t="shared" si="56"/>
        <v>42916</v>
      </c>
      <c r="AS109" s="50">
        <v>6</v>
      </c>
      <c r="AT109" s="1">
        <f t="shared" si="57"/>
        <v>0</v>
      </c>
      <c r="AU109" s="1">
        <f t="shared" si="58"/>
        <v>0</v>
      </c>
      <c r="AV109" s="1">
        <f t="shared" si="59"/>
        <v>0</v>
      </c>
      <c r="AW109" s="1">
        <f t="shared" si="60"/>
        <v>0</v>
      </c>
      <c r="AX109" s="1">
        <f t="shared" si="61"/>
        <v>90.5</v>
      </c>
      <c r="AY109" s="23">
        <f t="shared" si="62"/>
        <v>0.5</v>
      </c>
      <c r="AZ109" s="23">
        <f t="shared" si="63"/>
        <v>0.37397540983606559</v>
      </c>
      <c r="BA109" s="23">
        <f t="shared" si="64"/>
        <v>1.1219262295081966</v>
      </c>
      <c r="BB109" s="23">
        <f t="shared" si="65"/>
        <v>2.8048155737704916</v>
      </c>
      <c r="BC109" s="23">
        <f t="shared" si="66"/>
        <v>0</v>
      </c>
      <c r="BD109" s="23">
        <f t="shared" si="67"/>
        <v>2.8048155737704916</v>
      </c>
    </row>
    <row r="110" spans="1:56">
      <c r="A110" s="1" t="s">
        <v>20</v>
      </c>
      <c r="B110" s="1" t="s">
        <v>32</v>
      </c>
      <c r="C110" s="1" t="s">
        <v>22</v>
      </c>
      <c r="D110" s="1" t="s">
        <v>33</v>
      </c>
      <c r="E110" s="51" t="s">
        <v>107</v>
      </c>
      <c r="F110" s="51" t="s">
        <v>108</v>
      </c>
      <c r="G110" s="51" t="s">
        <v>109</v>
      </c>
      <c r="H110" s="51" t="s">
        <v>161</v>
      </c>
      <c r="I110" s="1" t="s">
        <v>131</v>
      </c>
      <c r="J110" s="51" t="s">
        <v>112</v>
      </c>
      <c r="K110" s="51" t="s">
        <v>112</v>
      </c>
      <c r="L110" s="51" t="s">
        <v>112</v>
      </c>
      <c r="M110" s="1">
        <v>1939665</v>
      </c>
      <c r="N110" s="50" t="s">
        <v>398</v>
      </c>
      <c r="O110" s="55">
        <f t="shared" si="72"/>
        <v>41393</v>
      </c>
      <c r="P110" s="55">
        <f>DATE(2015,4,30)</f>
        <v>42124</v>
      </c>
      <c r="Q110" s="51">
        <v>1540</v>
      </c>
      <c r="S110" s="51">
        <v>2.5</v>
      </c>
      <c r="U110" s="1">
        <f t="shared" si="38"/>
        <v>732</v>
      </c>
      <c r="V110" s="31">
        <f t="shared" si="39"/>
        <v>2.1038251366120218</v>
      </c>
      <c r="W110" s="31">
        <f t="shared" si="40"/>
        <v>767.89617486338796</v>
      </c>
      <c r="X110" s="31">
        <f t="shared" si="41"/>
        <v>0.95987021857923494</v>
      </c>
      <c r="AA110" s="32">
        <f t="shared" si="42"/>
        <v>42552</v>
      </c>
      <c r="AB110" s="32">
        <f t="shared" si="43"/>
        <v>42735</v>
      </c>
      <c r="AC110" s="50">
        <v>6</v>
      </c>
      <c r="AD110" s="1">
        <f t="shared" si="44"/>
        <v>0</v>
      </c>
      <c r="AE110" s="1">
        <f t="shared" si="45"/>
        <v>0</v>
      </c>
      <c r="AF110" s="1">
        <f t="shared" si="46"/>
        <v>0</v>
      </c>
      <c r="AG110" s="1">
        <f t="shared" si="47"/>
        <v>0</v>
      </c>
      <c r="AH110" s="1">
        <f t="shared" si="48"/>
        <v>92</v>
      </c>
      <c r="AI110" s="23">
        <f t="shared" si="49"/>
        <v>0.5</v>
      </c>
      <c r="AJ110" s="23">
        <f t="shared" si="50"/>
        <v>0.47993510928961747</v>
      </c>
      <c r="AK110" s="23">
        <f t="shared" si="51"/>
        <v>1.4398053278688523</v>
      </c>
      <c r="AL110" s="23">
        <f t="shared" si="52"/>
        <v>3.5995133196721305</v>
      </c>
      <c r="AM110" s="23">
        <f t="shared" si="53"/>
        <v>0</v>
      </c>
      <c r="AN110" s="23">
        <f t="shared" si="54"/>
        <v>3.5995133196721305</v>
      </c>
      <c r="AQ110" s="32">
        <f t="shared" si="55"/>
        <v>42736</v>
      </c>
      <c r="AR110" s="32">
        <f t="shared" si="56"/>
        <v>42916</v>
      </c>
      <c r="AS110" s="50">
        <v>3</v>
      </c>
      <c r="AT110" s="1">
        <f t="shared" si="57"/>
        <v>0</v>
      </c>
      <c r="AU110" s="1">
        <f t="shared" si="58"/>
        <v>0</v>
      </c>
      <c r="AV110" s="1">
        <f t="shared" si="59"/>
        <v>0</v>
      </c>
      <c r="AW110" s="1">
        <f t="shared" si="60"/>
        <v>0</v>
      </c>
      <c r="AX110" s="1">
        <f t="shared" si="61"/>
        <v>90.5</v>
      </c>
      <c r="AY110" s="23">
        <f t="shared" si="62"/>
        <v>0.5</v>
      </c>
      <c r="AZ110" s="23">
        <f t="shared" si="63"/>
        <v>0.47993510928961747</v>
      </c>
      <c r="BA110" s="23">
        <f t="shared" si="64"/>
        <v>0.71990266393442615</v>
      </c>
      <c r="BB110" s="23">
        <f t="shared" si="65"/>
        <v>1.7997566598360653</v>
      </c>
      <c r="BC110" s="23">
        <f t="shared" si="66"/>
        <v>0</v>
      </c>
      <c r="BD110" s="23">
        <f t="shared" si="67"/>
        <v>1.7997566598360653</v>
      </c>
    </row>
    <row r="111" spans="1:56">
      <c r="A111" s="1" t="s">
        <v>20</v>
      </c>
      <c r="B111" s="1" t="s">
        <v>32</v>
      </c>
      <c r="C111" s="1" t="s">
        <v>22</v>
      </c>
      <c r="D111" s="1" t="s">
        <v>33</v>
      </c>
      <c r="E111" s="51" t="s">
        <v>107</v>
      </c>
      <c r="F111" s="51" t="s">
        <v>108</v>
      </c>
      <c r="G111" s="51" t="s">
        <v>109</v>
      </c>
      <c r="H111" s="51" t="s">
        <v>213</v>
      </c>
      <c r="I111" s="1" t="s">
        <v>214</v>
      </c>
      <c r="J111" s="51" t="s">
        <v>112</v>
      </c>
      <c r="K111" s="51" t="s">
        <v>112</v>
      </c>
      <c r="L111" s="51" t="s">
        <v>112</v>
      </c>
      <c r="M111" s="1">
        <v>1939667</v>
      </c>
      <c r="N111" s="50" t="s">
        <v>399</v>
      </c>
      <c r="O111" s="55">
        <f t="shared" si="72"/>
        <v>41393</v>
      </c>
      <c r="P111" s="55">
        <f>DATE(2014,10,31)</f>
        <v>41943</v>
      </c>
      <c r="Q111" s="51">
        <v>950</v>
      </c>
      <c r="S111" s="51">
        <v>1.5</v>
      </c>
      <c r="U111" s="1">
        <f t="shared" si="38"/>
        <v>551</v>
      </c>
      <c r="V111" s="31">
        <f t="shared" si="39"/>
        <v>1.7241379310344827</v>
      </c>
      <c r="W111" s="31">
        <f t="shared" si="40"/>
        <v>629.31034482758616</v>
      </c>
      <c r="X111" s="31">
        <f t="shared" si="41"/>
        <v>0.78663793103448265</v>
      </c>
      <c r="AA111" s="32">
        <f t="shared" si="42"/>
        <v>42552</v>
      </c>
      <c r="AB111" s="32">
        <f t="shared" si="43"/>
        <v>42735</v>
      </c>
      <c r="AC111" s="50">
        <v>12</v>
      </c>
      <c r="AD111" s="1">
        <f t="shared" si="44"/>
        <v>0</v>
      </c>
      <c r="AE111" s="1">
        <f t="shared" si="45"/>
        <v>0</v>
      </c>
      <c r="AF111" s="1">
        <f t="shared" si="46"/>
        <v>0</v>
      </c>
      <c r="AG111" s="1">
        <f t="shared" si="47"/>
        <v>0</v>
      </c>
      <c r="AH111" s="1">
        <f t="shared" si="48"/>
        <v>92</v>
      </c>
      <c r="AI111" s="23">
        <f t="shared" si="49"/>
        <v>0.5</v>
      </c>
      <c r="AJ111" s="23">
        <f t="shared" si="50"/>
        <v>0.39331896551724133</v>
      </c>
      <c r="AK111" s="23">
        <f t="shared" si="51"/>
        <v>2.359913793103448</v>
      </c>
      <c r="AL111" s="23">
        <f t="shared" si="52"/>
        <v>3.5398706896551717</v>
      </c>
      <c r="AM111" s="23">
        <f t="shared" si="53"/>
        <v>0</v>
      </c>
      <c r="AN111" s="23">
        <f t="shared" si="54"/>
        <v>3.5398706896551717</v>
      </c>
      <c r="AQ111" s="32">
        <f t="shared" si="55"/>
        <v>42736</v>
      </c>
      <c r="AR111" s="32">
        <f t="shared" si="56"/>
        <v>42916</v>
      </c>
      <c r="AS111" s="50">
        <v>12</v>
      </c>
      <c r="AT111" s="1">
        <f t="shared" si="57"/>
        <v>0</v>
      </c>
      <c r="AU111" s="1">
        <f t="shared" si="58"/>
        <v>0</v>
      </c>
      <c r="AV111" s="1">
        <f t="shared" si="59"/>
        <v>0</v>
      </c>
      <c r="AW111" s="1">
        <f t="shared" si="60"/>
        <v>0</v>
      </c>
      <c r="AX111" s="1">
        <f t="shared" si="61"/>
        <v>90.5</v>
      </c>
      <c r="AY111" s="23">
        <f t="shared" si="62"/>
        <v>0.5</v>
      </c>
      <c r="AZ111" s="23">
        <f t="shared" si="63"/>
        <v>0.39331896551724133</v>
      </c>
      <c r="BA111" s="23">
        <f t="shared" si="64"/>
        <v>2.359913793103448</v>
      </c>
      <c r="BB111" s="23">
        <f t="shared" si="65"/>
        <v>3.5398706896551717</v>
      </c>
      <c r="BC111" s="23">
        <f t="shared" si="66"/>
        <v>0</v>
      </c>
      <c r="BD111" s="23">
        <f t="shared" si="67"/>
        <v>3.5398706896551717</v>
      </c>
    </row>
    <row r="112" spans="1:56">
      <c r="A112" s="1" t="s">
        <v>20</v>
      </c>
      <c r="B112" s="1" t="s">
        <v>32</v>
      </c>
      <c r="C112" s="1" t="s">
        <v>22</v>
      </c>
      <c r="D112" s="1" t="s">
        <v>33</v>
      </c>
      <c r="E112" s="51" t="s">
        <v>107</v>
      </c>
      <c r="F112" s="51" t="s">
        <v>108</v>
      </c>
      <c r="G112" s="51" t="s">
        <v>109</v>
      </c>
      <c r="H112" s="51" t="s">
        <v>287</v>
      </c>
      <c r="I112" s="1" t="s">
        <v>111</v>
      </c>
      <c r="J112" s="51" t="s">
        <v>112</v>
      </c>
      <c r="K112" s="51" t="s">
        <v>112</v>
      </c>
      <c r="L112" s="51" t="s">
        <v>112</v>
      </c>
      <c r="M112" s="1">
        <v>1939668</v>
      </c>
      <c r="N112" s="50" t="s">
        <v>400</v>
      </c>
      <c r="O112" s="55">
        <f t="shared" si="72"/>
        <v>41393</v>
      </c>
      <c r="P112" s="55">
        <f>DATE(2015,4,30)</f>
        <v>42124</v>
      </c>
      <c r="Q112" s="51">
        <v>1200</v>
      </c>
      <c r="S112" s="51">
        <v>2.5</v>
      </c>
      <c r="U112" s="1">
        <f t="shared" si="38"/>
        <v>732</v>
      </c>
      <c r="V112" s="31">
        <f t="shared" si="39"/>
        <v>1.639344262295082</v>
      </c>
      <c r="W112" s="31">
        <f t="shared" si="40"/>
        <v>598.36065573770497</v>
      </c>
      <c r="X112" s="31">
        <f t="shared" si="41"/>
        <v>0.74795081967213117</v>
      </c>
      <c r="AA112" s="32">
        <f t="shared" si="42"/>
        <v>42552</v>
      </c>
      <c r="AB112" s="32">
        <f t="shared" si="43"/>
        <v>42735</v>
      </c>
      <c r="AC112" s="50">
        <v>5</v>
      </c>
      <c r="AD112" s="1">
        <f t="shared" si="44"/>
        <v>0</v>
      </c>
      <c r="AE112" s="1">
        <f t="shared" si="45"/>
        <v>0</v>
      </c>
      <c r="AF112" s="1">
        <f t="shared" si="46"/>
        <v>0</v>
      </c>
      <c r="AG112" s="1">
        <f t="shared" si="47"/>
        <v>0</v>
      </c>
      <c r="AH112" s="1">
        <f t="shared" si="48"/>
        <v>92</v>
      </c>
      <c r="AI112" s="23">
        <f t="shared" si="49"/>
        <v>0.5</v>
      </c>
      <c r="AJ112" s="23">
        <f t="shared" si="50"/>
        <v>0.37397540983606559</v>
      </c>
      <c r="AK112" s="23">
        <f t="shared" si="51"/>
        <v>0.93493852459016402</v>
      </c>
      <c r="AL112" s="23">
        <f t="shared" si="52"/>
        <v>2.3373463114754101</v>
      </c>
      <c r="AM112" s="23">
        <f t="shared" si="53"/>
        <v>0</v>
      </c>
      <c r="AN112" s="23">
        <f t="shared" si="54"/>
        <v>2.3373463114754101</v>
      </c>
      <c r="AQ112" s="32">
        <f t="shared" si="55"/>
        <v>42736</v>
      </c>
      <c r="AR112" s="32">
        <f t="shared" si="56"/>
        <v>42916</v>
      </c>
      <c r="AS112" s="50">
        <v>5</v>
      </c>
      <c r="AT112" s="1">
        <f t="shared" si="57"/>
        <v>0</v>
      </c>
      <c r="AU112" s="1">
        <f t="shared" si="58"/>
        <v>0</v>
      </c>
      <c r="AV112" s="1">
        <f t="shared" si="59"/>
        <v>0</v>
      </c>
      <c r="AW112" s="1">
        <f t="shared" si="60"/>
        <v>0</v>
      </c>
      <c r="AX112" s="1">
        <f t="shared" si="61"/>
        <v>90.5</v>
      </c>
      <c r="AY112" s="23">
        <f t="shared" si="62"/>
        <v>0.5</v>
      </c>
      <c r="AZ112" s="23">
        <f t="shared" si="63"/>
        <v>0.37397540983606559</v>
      </c>
      <c r="BA112" s="23">
        <f t="shared" si="64"/>
        <v>0.93493852459016402</v>
      </c>
      <c r="BB112" s="23">
        <f t="shared" si="65"/>
        <v>2.3373463114754101</v>
      </c>
      <c r="BC112" s="23">
        <f t="shared" si="66"/>
        <v>0</v>
      </c>
      <c r="BD112" s="23">
        <f t="shared" si="67"/>
        <v>2.3373463114754101</v>
      </c>
    </row>
    <row r="113" spans="1:56">
      <c r="A113" s="1" t="s">
        <v>20</v>
      </c>
      <c r="B113" s="1" t="s">
        <v>32</v>
      </c>
      <c r="C113" s="1" t="s">
        <v>22</v>
      </c>
      <c r="D113" s="1" t="s">
        <v>33</v>
      </c>
      <c r="E113" s="51" t="s">
        <v>107</v>
      </c>
      <c r="F113" s="51" t="s">
        <v>108</v>
      </c>
      <c r="G113" s="51" t="s">
        <v>109</v>
      </c>
      <c r="H113" s="51" t="s">
        <v>290</v>
      </c>
      <c r="I113" s="1" t="s">
        <v>125</v>
      </c>
      <c r="J113" s="51" t="s">
        <v>112</v>
      </c>
      <c r="K113" s="51" t="s">
        <v>112</v>
      </c>
      <c r="L113" s="51" t="s">
        <v>112</v>
      </c>
      <c r="M113" s="1">
        <v>1939669</v>
      </c>
      <c r="N113" s="50" t="s">
        <v>401</v>
      </c>
      <c r="O113" s="55">
        <f t="shared" si="72"/>
        <v>41393</v>
      </c>
      <c r="P113" s="55">
        <f>DATE(2014,10,31)</f>
        <v>41943</v>
      </c>
      <c r="Q113" s="51">
        <v>1476</v>
      </c>
      <c r="S113" s="51">
        <v>2.5</v>
      </c>
      <c r="U113" s="1">
        <f t="shared" si="38"/>
        <v>551</v>
      </c>
      <c r="V113" s="31">
        <f t="shared" si="39"/>
        <v>2.6787658802177861</v>
      </c>
      <c r="W113" s="31">
        <f t="shared" si="40"/>
        <v>977.74954627949194</v>
      </c>
      <c r="X113" s="31">
        <f t="shared" si="41"/>
        <v>1.2221869328493649</v>
      </c>
      <c r="AA113" s="32">
        <f t="shared" si="42"/>
        <v>42552</v>
      </c>
      <c r="AB113" s="32">
        <f t="shared" si="43"/>
        <v>42735</v>
      </c>
      <c r="AC113" s="50">
        <v>5</v>
      </c>
      <c r="AD113" s="1">
        <f t="shared" si="44"/>
        <v>0</v>
      </c>
      <c r="AE113" s="1">
        <f t="shared" si="45"/>
        <v>0</v>
      </c>
      <c r="AF113" s="1">
        <f t="shared" si="46"/>
        <v>0</v>
      </c>
      <c r="AG113" s="1">
        <f t="shared" si="47"/>
        <v>0</v>
      </c>
      <c r="AH113" s="1">
        <f t="shared" si="48"/>
        <v>92</v>
      </c>
      <c r="AI113" s="23">
        <f t="shared" si="49"/>
        <v>0.5</v>
      </c>
      <c r="AJ113" s="23">
        <f t="shared" si="50"/>
        <v>0.61109346642468243</v>
      </c>
      <c r="AK113" s="23">
        <f t="shared" si="51"/>
        <v>1.527733666061706</v>
      </c>
      <c r="AL113" s="23">
        <f t="shared" si="52"/>
        <v>3.8193341651542649</v>
      </c>
      <c r="AM113" s="23">
        <f t="shared" si="53"/>
        <v>0</v>
      </c>
      <c r="AN113" s="23">
        <f t="shared" si="54"/>
        <v>3.8193341651542649</v>
      </c>
      <c r="AQ113" s="32">
        <f t="shared" si="55"/>
        <v>42736</v>
      </c>
      <c r="AR113" s="32">
        <f t="shared" si="56"/>
        <v>42916</v>
      </c>
      <c r="AS113" s="50">
        <v>4</v>
      </c>
      <c r="AT113" s="1">
        <f t="shared" si="57"/>
        <v>0</v>
      </c>
      <c r="AU113" s="1">
        <f t="shared" si="58"/>
        <v>0</v>
      </c>
      <c r="AV113" s="1">
        <f t="shared" si="59"/>
        <v>0</v>
      </c>
      <c r="AW113" s="1">
        <f t="shared" si="60"/>
        <v>0</v>
      </c>
      <c r="AX113" s="1">
        <f t="shared" si="61"/>
        <v>90.5</v>
      </c>
      <c r="AY113" s="23">
        <f t="shared" si="62"/>
        <v>0.5</v>
      </c>
      <c r="AZ113" s="23">
        <f t="shared" si="63"/>
        <v>0.61109346642468243</v>
      </c>
      <c r="BA113" s="23">
        <f t="shared" si="64"/>
        <v>1.2221869328493649</v>
      </c>
      <c r="BB113" s="23">
        <f t="shared" si="65"/>
        <v>3.055467332123412</v>
      </c>
      <c r="BC113" s="23">
        <f t="shared" si="66"/>
        <v>0</v>
      </c>
      <c r="BD113" s="23">
        <f t="shared" si="67"/>
        <v>3.055467332123412</v>
      </c>
    </row>
    <row r="114" spans="1:56">
      <c r="A114" s="1" t="s">
        <v>20</v>
      </c>
      <c r="B114" s="1" t="s">
        <v>32</v>
      </c>
      <c r="C114" s="1" t="s">
        <v>22</v>
      </c>
      <c r="D114" s="1" t="s">
        <v>33</v>
      </c>
      <c r="E114" s="51" t="s">
        <v>107</v>
      </c>
      <c r="F114" s="51" t="s">
        <v>108</v>
      </c>
      <c r="G114" s="51" t="s">
        <v>109</v>
      </c>
      <c r="H114" s="51" t="s">
        <v>124</v>
      </c>
      <c r="I114" s="1" t="s">
        <v>125</v>
      </c>
      <c r="J114" s="51" t="s">
        <v>112</v>
      </c>
      <c r="K114" s="51" t="s">
        <v>112</v>
      </c>
      <c r="L114" s="51" t="s">
        <v>112</v>
      </c>
      <c r="M114" s="1">
        <v>1939671</v>
      </c>
      <c r="N114" s="50" t="s">
        <v>402</v>
      </c>
      <c r="O114" s="55">
        <f t="shared" si="72"/>
        <v>41393</v>
      </c>
      <c r="P114" s="55">
        <f>DATE(2014,10,31)</f>
        <v>41943</v>
      </c>
      <c r="Q114" s="51">
        <v>1200</v>
      </c>
      <c r="S114" s="51">
        <v>2.5</v>
      </c>
      <c r="U114" s="1">
        <f t="shared" si="38"/>
        <v>551</v>
      </c>
      <c r="V114" s="31">
        <f t="shared" si="39"/>
        <v>2.1778584392014517</v>
      </c>
      <c r="W114" s="31">
        <f t="shared" si="40"/>
        <v>794.9183303085299</v>
      </c>
      <c r="X114" s="31">
        <f t="shared" si="41"/>
        <v>0.99364791288566234</v>
      </c>
      <c r="AA114" s="32">
        <f t="shared" si="42"/>
        <v>42552</v>
      </c>
      <c r="AB114" s="32">
        <f t="shared" si="43"/>
        <v>42735</v>
      </c>
      <c r="AC114" s="50">
        <v>6</v>
      </c>
      <c r="AD114" s="1">
        <f t="shared" si="44"/>
        <v>0</v>
      </c>
      <c r="AE114" s="1">
        <f t="shared" si="45"/>
        <v>0</v>
      </c>
      <c r="AF114" s="1">
        <f t="shared" si="46"/>
        <v>0</v>
      </c>
      <c r="AG114" s="1">
        <f t="shared" si="47"/>
        <v>0</v>
      </c>
      <c r="AH114" s="1">
        <f t="shared" si="48"/>
        <v>92</v>
      </c>
      <c r="AI114" s="23">
        <f t="shared" si="49"/>
        <v>0.5</v>
      </c>
      <c r="AJ114" s="23">
        <f t="shared" si="50"/>
        <v>0.49682395644283117</v>
      </c>
      <c r="AK114" s="23">
        <f t="shared" si="51"/>
        <v>1.4904718693284935</v>
      </c>
      <c r="AL114" s="23">
        <f t="shared" si="52"/>
        <v>3.7261796733212336</v>
      </c>
      <c r="AM114" s="23">
        <f t="shared" si="53"/>
        <v>0</v>
      </c>
      <c r="AN114" s="23">
        <f t="shared" si="54"/>
        <v>3.7261796733212336</v>
      </c>
      <c r="AQ114" s="32">
        <f t="shared" si="55"/>
        <v>42736</v>
      </c>
      <c r="AR114" s="32">
        <f t="shared" si="56"/>
        <v>42916</v>
      </c>
      <c r="AS114" s="50">
        <v>5</v>
      </c>
      <c r="AT114" s="1">
        <f t="shared" si="57"/>
        <v>0</v>
      </c>
      <c r="AU114" s="1">
        <f t="shared" si="58"/>
        <v>0</v>
      </c>
      <c r="AV114" s="1">
        <f t="shared" si="59"/>
        <v>0</v>
      </c>
      <c r="AW114" s="1">
        <f t="shared" si="60"/>
        <v>0</v>
      </c>
      <c r="AX114" s="1">
        <f t="shared" si="61"/>
        <v>90.5</v>
      </c>
      <c r="AY114" s="23">
        <f t="shared" si="62"/>
        <v>0.5</v>
      </c>
      <c r="AZ114" s="23">
        <f t="shared" si="63"/>
        <v>0.49682395644283117</v>
      </c>
      <c r="BA114" s="23">
        <f t="shared" si="64"/>
        <v>1.2420598911070779</v>
      </c>
      <c r="BB114" s="23">
        <f t="shared" si="65"/>
        <v>3.1051497277676949</v>
      </c>
      <c r="BC114" s="23">
        <f t="shared" si="66"/>
        <v>0</v>
      </c>
      <c r="BD114" s="23">
        <f t="shared" si="67"/>
        <v>3.1051497277676949</v>
      </c>
    </row>
    <row r="115" spans="1:56">
      <c r="A115" s="1" t="s">
        <v>20</v>
      </c>
      <c r="B115" s="1" t="s">
        <v>32</v>
      </c>
      <c r="C115" s="1" t="s">
        <v>22</v>
      </c>
      <c r="D115" s="1" t="s">
        <v>33</v>
      </c>
      <c r="E115" s="51" t="s">
        <v>107</v>
      </c>
      <c r="F115" s="51" t="s">
        <v>108</v>
      </c>
      <c r="G115" s="51" t="s">
        <v>109</v>
      </c>
      <c r="H115" s="51" t="s">
        <v>179</v>
      </c>
      <c r="I115" s="1" t="s">
        <v>125</v>
      </c>
      <c r="J115" s="51" t="s">
        <v>112</v>
      </c>
      <c r="K115" s="51" t="s">
        <v>112</v>
      </c>
      <c r="L115" s="51" t="s">
        <v>112</v>
      </c>
      <c r="M115" s="1">
        <v>1939672</v>
      </c>
      <c r="N115" s="50" t="s">
        <v>403</v>
      </c>
      <c r="O115" s="55">
        <f t="shared" si="72"/>
        <v>41393</v>
      </c>
      <c r="P115" s="55">
        <f>DATE(2014,10,31)</f>
        <v>41943</v>
      </c>
      <c r="Q115" s="51">
        <v>2960</v>
      </c>
      <c r="S115" s="51">
        <v>2</v>
      </c>
      <c r="U115" s="1">
        <f t="shared" si="38"/>
        <v>551</v>
      </c>
      <c r="V115" s="31">
        <f t="shared" si="39"/>
        <v>5.3720508166969143</v>
      </c>
      <c r="W115" s="31">
        <f t="shared" si="40"/>
        <v>1960.7985480943737</v>
      </c>
      <c r="X115" s="31">
        <f t="shared" si="41"/>
        <v>2.450998185117967</v>
      </c>
      <c r="AA115" s="32">
        <f t="shared" si="42"/>
        <v>42552</v>
      </c>
      <c r="AB115" s="32">
        <f t="shared" si="43"/>
        <v>42735</v>
      </c>
      <c r="AC115" s="50">
        <v>10</v>
      </c>
      <c r="AD115" s="1">
        <f t="shared" si="44"/>
        <v>0</v>
      </c>
      <c r="AE115" s="1">
        <f t="shared" si="45"/>
        <v>0</v>
      </c>
      <c r="AF115" s="1">
        <f t="shared" si="46"/>
        <v>0</v>
      </c>
      <c r="AG115" s="1">
        <f t="shared" si="47"/>
        <v>0</v>
      </c>
      <c r="AH115" s="1">
        <f t="shared" si="48"/>
        <v>92</v>
      </c>
      <c r="AI115" s="23">
        <f t="shared" si="49"/>
        <v>0.5</v>
      </c>
      <c r="AJ115" s="23">
        <f t="shared" si="50"/>
        <v>1.2254990925589835</v>
      </c>
      <c r="AK115" s="23">
        <f t="shared" si="51"/>
        <v>6.1274954627949176</v>
      </c>
      <c r="AL115" s="23">
        <f t="shared" si="52"/>
        <v>12.254990925589835</v>
      </c>
      <c r="AM115" s="23">
        <f t="shared" si="53"/>
        <v>0</v>
      </c>
      <c r="AN115" s="23">
        <f t="shared" si="54"/>
        <v>12.254990925589835</v>
      </c>
      <c r="AQ115" s="32">
        <f t="shared" si="55"/>
        <v>42736</v>
      </c>
      <c r="AR115" s="32">
        <f t="shared" si="56"/>
        <v>42916</v>
      </c>
      <c r="AS115" s="50">
        <v>4</v>
      </c>
      <c r="AT115" s="1">
        <f t="shared" si="57"/>
        <v>0</v>
      </c>
      <c r="AU115" s="1">
        <f t="shared" si="58"/>
        <v>0</v>
      </c>
      <c r="AV115" s="1">
        <f t="shared" si="59"/>
        <v>0</v>
      </c>
      <c r="AW115" s="1">
        <f t="shared" si="60"/>
        <v>0</v>
      </c>
      <c r="AX115" s="1">
        <f t="shared" si="61"/>
        <v>90.5</v>
      </c>
      <c r="AY115" s="23">
        <f t="shared" si="62"/>
        <v>0.5</v>
      </c>
      <c r="AZ115" s="23">
        <f t="shared" si="63"/>
        <v>1.2254990925589835</v>
      </c>
      <c r="BA115" s="23">
        <f t="shared" si="64"/>
        <v>2.450998185117967</v>
      </c>
      <c r="BB115" s="23">
        <f t="shared" si="65"/>
        <v>4.9019963702359339</v>
      </c>
      <c r="BC115" s="23">
        <f t="shared" si="66"/>
        <v>0</v>
      </c>
      <c r="BD115" s="23">
        <f t="shared" si="67"/>
        <v>4.9019963702359339</v>
      </c>
    </row>
    <row r="116" spans="1:56">
      <c r="A116" s="1" t="s">
        <v>20</v>
      </c>
      <c r="B116" s="1" t="s">
        <v>32</v>
      </c>
      <c r="C116" s="1" t="s">
        <v>22</v>
      </c>
      <c r="D116" s="1" t="s">
        <v>33</v>
      </c>
      <c r="E116" s="51" t="s">
        <v>107</v>
      </c>
      <c r="F116" s="51" t="s">
        <v>108</v>
      </c>
      <c r="G116" s="51" t="s">
        <v>109</v>
      </c>
      <c r="H116" s="51" t="s">
        <v>175</v>
      </c>
      <c r="I116" s="1" t="s">
        <v>147</v>
      </c>
      <c r="J116" s="51" t="s">
        <v>148</v>
      </c>
      <c r="K116" s="51" t="s">
        <v>112</v>
      </c>
      <c r="L116" s="51" t="s">
        <v>112</v>
      </c>
      <c r="M116" s="1">
        <v>1939673</v>
      </c>
      <c r="N116" s="50" t="s">
        <v>404</v>
      </c>
      <c r="O116" s="55">
        <f t="shared" si="72"/>
        <v>41393</v>
      </c>
      <c r="P116" s="55">
        <f>DATE(2014,10,31)</f>
        <v>41943</v>
      </c>
      <c r="Q116" s="51">
        <v>1255</v>
      </c>
      <c r="S116" s="51">
        <v>2.5</v>
      </c>
      <c r="U116" s="1">
        <f t="shared" si="38"/>
        <v>551</v>
      </c>
      <c r="V116" s="31">
        <f t="shared" si="39"/>
        <v>2.2776769509981851</v>
      </c>
      <c r="W116" s="31">
        <f t="shared" si="40"/>
        <v>831.35208711433756</v>
      </c>
      <c r="X116" s="31">
        <f t="shared" si="41"/>
        <v>1.0391901088929218</v>
      </c>
      <c r="AA116" s="32">
        <f t="shared" si="42"/>
        <v>42552</v>
      </c>
      <c r="AB116" s="32">
        <f t="shared" si="43"/>
        <v>42735</v>
      </c>
      <c r="AC116" s="50">
        <v>9</v>
      </c>
      <c r="AD116" s="1">
        <f t="shared" si="44"/>
        <v>0</v>
      </c>
      <c r="AE116" s="1">
        <f t="shared" si="45"/>
        <v>0</v>
      </c>
      <c r="AF116" s="1">
        <f t="shared" si="46"/>
        <v>0</v>
      </c>
      <c r="AG116" s="1">
        <f t="shared" si="47"/>
        <v>0</v>
      </c>
      <c r="AH116" s="1">
        <f t="shared" si="48"/>
        <v>92</v>
      </c>
      <c r="AI116" s="23">
        <f t="shared" si="49"/>
        <v>0.5</v>
      </c>
      <c r="AJ116" s="23">
        <f t="shared" si="50"/>
        <v>0.51959505444646092</v>
      </c>
      <c r="AK116" s="23">
        <f t="shared" si="51"/>
        <v>2.3381777450090739</v>
      </c>
      <c r="AL116" s="23">
        <f t="shared" si="52"/>
        <v>5.8454443625226844</v>
      </c>
      <c r="AM116" s="23">
        <f t="shared" si="53"/>
        <v>2.9227221812613422</v>
      </c>
      <c r="AN116" s="23">
        <f t="shared" si="54"/>
        <v>8.7681665437840266</v>
      </c>
      <c r="AQ116" s="32">
        <f t="shared" si="55"/>
        <v>42736</v>
      </c>
      <c r="AR116" s="32">
        <f t="shared" si="56"/>
        <v>42916</v>
      </c>
      <c r="AS116" s="50">
        <v>6</v>
      </c>
      <c r="AT116" s="1">
        <f t="shared" si="57"/>
        <v>0</v>
      </c>
      <c r="AU116" s="1">
        <f t="shared" si="58"/>
        <v>0</v>
      </c>
      <c r="AV116" s="1">
        <f t="shared" si="59"/>
        <v>0</v>
      </c>
      <c r="AW116" s="1">
        <f t="shared" si="60"/>
        <v>0</v>
      </c>
      <c r="AX116" s="1">
        <f t="shared" si="61"/>
        <v>90.5</v>
      </c>
      <c r="AY116" s="23">
        <f t="shared" si="62"/>
        <v>0.5</v>
      </c>
      <c r="AZ116" s="23">
        <f t="shared" si="63"/>
        <v>0.51959505444646092</v>
      </c>
      <c r="BA116" s="23">
        <f t="shared" si="64"/>
        <v>1.5587851633393828</v>
      </c>
      <c r="BB116" s="23">
        <f t="shared" si="65"/>
        <v>3.8969629083484572</v>
      </c>
      <c r="BC116" s="23">
        <f t="shared" si="66"/>
        <v>1.9484814541742286</v>
      </c>
      <c r="BD116" s="23">
        <f t="shared" si="67"/>
        <v>5.8454443625226862</v>
      </c>
    </row>
    <row r="117" spans="1:56">
      <c r="A117" s="1" t="s">
        <v>20</v>
      </c>
      <c r="B117" s="1" t="s">
        <v>32</v>
      </c>
      <c r="C117" s="1" t="s">
        <v>22</v>
      </c>
      <c r="D117" s="1" t="s">
        <v>33</v>
      </c>
      <c r="E117" s="51" t="s">
        <v>107</v>
      </c>
      <c r="F117" s="51" t="s">
        <v>108</v>
      </c>
      <c r="G117" s="51" t="s">
        <v>109</v>
      </c>
      <c r="H117" s="51" t="s">
        <v>283</v>
      </c>
      <c r="I117" s="1" t="s">
        <v>128</v>
      </c>
      <c r="J117" s="51" t="s">
        <v>112</v>
      </c>
      <c r="K117" s="51" t="s">
        <v>112</v>
      </c>
      <c r="L117" s="51" t="s">
        <v>112</v>
      </c>
      <c r="M117" s="1">
        <v>1939675</v>
      </c>
      <c r="N117" s="50" t="s">
        <v>405</v>
      </c>
      <c r="O117" s="55">
        <f t="shared" si="72"/>
        <v>41393</v>
      </c>
      <c r="P117" s="55">
        <f>DATE(2015,4,30)</f>
        <v>42124</v>
      </c>
      <c r="Q117" s="51">
        <v>1200</v>
      </c>
      <c r="S117" s="51">
        <v>2.5</v>
      </c>
      <c r="U117" s="1">
        <f t="shared" si="38"/>
        <v>732</v>
      </c>
      <c r="V117" s="31">
        <f t="shared" si="39"/>
        <v>1.639344262295082</v>
      </c>
      <c r="W117" s="31">
        <f t="shared" si="40"/>
        <v>598.36065573770497</v>
      </c>
      <c r="X117" s="31">
        <f t="shared" si="41"/>
        <v>0.74795081967213117</v>
      </c>
      <c r="AA117" s="32">
        <f t="shared" si="42"/>
        <v>42552</v>
      </c>
      <c r="AB117" s="32">
        <f t="shared" si="43"/>
        <v>42735</v>
      </c>
      <c r="AC117" s="50">
        <v>7</v>
      </c>
      <c r="AD117" s="1">
        <f t="shared" si="44"/>
        <v>0</v>
      </c>
      <c r="AE117" s="1">
        <f t="shared" si="45"/>
        <v>0</v>
      </c>
      <c r="AF117" s="1">
        <f t="shared" si="46"/>
        <v>0</v>
      </c>
      <c r="AG117" s="1">
        <f t="shared" si="47"/>
        <v>0</v>
      </c>
      <c r="AH117" s="1">
        <f t="shared" si="48"/>
        <v>92</v>
      </c>
      <c r="AI117" s="23">
        <f t="shared" si="49"/>
        <v>0.5</v>
      </c>
      <c r="AJ117" s="23">
        <f t="shared" si="50"/>
        <v>0.37397540983606559</v>
      </c>
      <c r="AK117" s="23">
        <f t="shared" si="51"/>
        <v>1.3089139344262295</v>
      </c>
      <c r="AL117" s="23">
        <f t="shared" si="52"/>
        <v>3.2722848360655736</v>
      </c>
      <c r="AM117" s="23">
        <f t="shared" si="53"/>
        <v>0</v>
      </c>
      <c r="AN117" s="23">
        <f t="shared" si="54"/>
        <v>3.2722848360655736</v>
      </c>
      <c r="AQ117" s="32">
        <f t="shared" si="55"/>
        <v>42736</v>
      </c>
      <c r="AR117" s="32">
        <f t="shared" si="56"/>
        <v>42916</v>
      </c>
      <c r="AS117" s="50">
        <v>6</v>
      </c>
      <c r="AT117" s="1">
        <f t="shared" si="57"/>
        <v>0</v>
      </c>
      <c r="AU117" s="1">
        <f t="shared" si="58"/>
        <v>0</v>
      </c>
      <c r="AV117" s="1">
        <f t="shared" si="59"/>
        <v>0</v>
      </c>
      <c r="AW117" s="1">
        <f t="shared" si="60"/>
        <v>0</v>
      </c>
      <c r="AX117" s="1">
        <f t="shared" si="61"/>
        <v>90.5</v>
      </c>
      <c r="AY117" s="23">
        <f t="shared" si="62"/>
        <v>0.5</v>
      </c>
      <c r="AZ117" s="23">
        <f t="shared" si="63"/>
        <v>0.37397540983606559</v>
      </c>
      <c r="BA117" s="23">
        <f t="shared" si="64"/>
        <v>1.1219262295081966</v>
      </c>
      <c r="BB117" s="23">
        <f t="shared" si="65"/>
        <v>2.8048155737704916</v>
      </c>
      <c r="BC117" s="23">
        <f t="shared" si="66"/>
        <v>0</v>
      </c>
      <c r="BD117" s="23">
        <f t="shared" si="67"/>
        <v>2.8048155737704916</v>
      </c>
    </row>
    <row r="118" spans="1:56">
      <c r="A118" s="1" t="s">
        <v>20</v>
      </c>
      <c r="B118" s="1" t="s">
        <v>32</v>
      </c>
      <c r="C118" s="1" t="s">
        <v>22</v>
      </c>
      <c r="D118" s="1" t="s">
        <v>33</v>
      </c>
      <c r="E118" s="51" t="s">
        <v>107</v>
      </c>
      <c r="F118" s="51" t="s">
        <v>108</v>
      </c>
      <c r="G118" s="51" t="s">
        <v>109</v>
      </c>
      <c r="H118" s="51" t="s">
        <v>285</v>
      </c>
      <c r="I118" s="1" t="s">
        <v>125</v>
      </c>
      <c r="J118" s="51" t="s">
        <v>112</v>
      </c>
      <c r="K118" s="51" t="s">
        <v>112</v>
      </c>
      <c r="L118" s="51" t="s">
        <v>112</v>
      </c>
      <c r="M118" s="1">
        <v>1939676</v>
      </c>
      <c r="N118" s="50" t="s">
        <v>406</v>
      </c>
      <c r="O118" s="55">
        <f t="shared" si="72"/>
        <v>41393</v>
      </c>
      <c r="P118" s="55">
        <f>DATE(2014,10,31)</f>
        <v>41943</v>
      </c>
      <c r="Q118" s="51">
        <v>1340</v>
      </c>
      <c r="S118" s="51">
        <v>2.5</v>
      </c>
      <c r="U118" s="1">
        <f t="shared" si="38"/>
        <v>551</v>
      </c>
      <c r="V118" s="31">
        <f t="shared" si="39"/>
        <v>2.4319419237749544</v>
      </c>
      <c r="W118" s="31">
        <f t="shared" si="40"/>
        <v>887.65880217785832</v>
      </c>
      <c r="X118" s="31">
        <f t="shared" si="41"/>
        <v>1.1095735027223228</v>
      </c>
      <c r="AA118" s="32">
        <f t="shared" si="42"/>
        <v>42552</v>
      </c>
      <c r="AB118" s="32">
        <f t="shared" si="43"/>
        <v>42735</v>
      </c>
      <c r="AC118" s="50">
        <v>5</v>
      </c>
      <c r="AD118" s="1">
        <f t="shared" si="44"/>
        <v>0</v>
      </c>
      <c r="AE118" s="1">
        <f t="shared" si="45"/>
        <v>0</v>
      </c>
      <c r="AF118" s="1">
        <f t="shared" si="46"/>
        <v>0</v>
      </c>
      <c r="AG118" s="1">
        <f t="shared" si="47"/>
        <v>0</v>
      </c>
      <c r="AH118" s="1">
        <f t="shared" si="48"/>
        <v>92</v>
      </c>
      <c r="AI118" s="23">
        <f t="shared" si="49"/>
        <v>0.5</v>
      </c>
      <c r="AJ118" s="23">
        <f t="shared" si="50"/>
        <v>0.5547867513611614</v>
      </c>
      <c r="AK118" s="23">
        <f t="shared" si="51"/>
        <v>1.3869668784029034</v>
      </c>
      <c r="AL118" s="23">
        <f t="shared" si="52"/>
        <v>3.4674171960072586</v>
      </c>
      <c r="AM118" s="23">
        <f t="shared" si="53"/>
        <v>0</v>
      </c>
      <c r="AN118" s="23">
        <f t="shared" si="54"/>
        <v>3.4674171960072586</v>
      </c>
      <c r="AQ118" s="32">
        <f t="shared" si="55"/>
        <v>42736</v>
      </c>
      <c r="AR118" s="32">
        <f t="shared" si="56"/>
        <v>42916</v>
      </c>
      <c r="AS118" s="50">
        <v>4</v>
      </c>
      <c r="AT118" s="1">
        <f t="shared" si="57"/>
        <v>0</v>
      </c>
      <c r="AU118" s="1">
        <f t="shared" si="58"/>
        <v>0</v>
      </c>
      <c r="AV118" s="1">
        <f t="shared" si="59"/>
        <v>0</v>
      </c>
      <c r="AW118" s="1">
        <f t="shared" si="60"/>
        <v>0</v>
      </c>
      <c r="AX118" s="1">
        <f t="shared" si="61"/>
        <v>90.5</v>
      </c>
      <c r="AY118" s="23">
        <f t="shared" si="62"/>
        <v>0.5</v>
      </c>
      <c r="AZ118" s="23">
        <f t="shared" si="63"/>
        <v>0.5547867513611614</v>
      </c>
      <c r="BA118" s="23">
        <f t="shared" si="64"/>
        <v>1.1095735027223228</v>
      </c>
      <c r="BB118" s="23">
        <f t="shared" si="65"/>
        <v>2.7739337568058069</v>
      </c>
      <c r="BC118" s="23">
        <f t="shared" si="66"/>
        <v>0</v>
      </c>
      <c r="BD118" s="23">
        <f t="shared" si="67"/>
        <v>2.7739337568058069</v>
      </c>
    </row>
    <row r="119" spans="1:56">
      <c r="A119" s="1" t="s">
        <v>20</v>
      </c>
      <c r="B119" s="1" t="s">
        <v>32</v>
      </c>
      <c r="C119" s="1" t="s">
        <v>22</v>
      </c>
      <c r="D119" s="1" t="s">
        <v>33</v>
      </c>
      <c r="E119" s="51" t="s">
        <v>107</v>
      </c>
      <c r="F119" s="51" t="s">
        <v>108</v>
      </c>
      <c r="G119" s="51" t="s">
        <v>109</v>
      </c>
      <c r="H119" s="51" t="s">
        <v>351</v>
      </c>
      <c r="I119" s="1" t="s">
        <v>125</v>
      </c>
      <c r="J119" s="51" t="s">
        <v>112</v>
      </c>
      <c r="K119" s="51" t="s">
        <v>112</v>
      </c>
      <c r="L119" s="51" t="s">
        <v>112</v>
      </c>
      <c r="M119" s="1">
        <v>1939678</v>
      </c>
      <c r="N119" s="50" t="s">
        <v>407</v>
      </c>
      <c r="O119" s="55">
        <f t="shared" si="72"/>
        <v>41393</v>
      </c>
      <c r="P119" s="55">
        <f>DATE(2014,10,31)</f>
        <v>41943</v>
      </c>
      <c r="Q119" s="51">
        <v>1360</v>
      </c>
      <c r="S119" s="51">
        <v>2</v>
      </c>
      <c r="U119" s="1">
        <f t="shared" si="38"/>
        <v>551</v>
      </c>
      <c r="V119" s="31">
        <f t="shared" si="39"/>
        <v>2.4682395644283122</v>
      </c>
      <c r="W119" s="31">
        <f t="shared" si="40"/>
        <v>900.90744101633391</v>
      </c>
      <c r="X119" s="31">
        <f t="shared" si="41"/>
        <v>1.1261343012704175</v>
      </c>
      <c r="AA119" s="32">
        <f t="shared" si="42"/>
        <v>42552</v>
      </c>
      <c r="AB119" s="32">
        <f t="shared" si="43"/>
        <v>42735</v>
      </c>
      <c r="AC119" s="50">
        <v>8</v>
      </c>
      <c r="AD119" s="1">
        <f t="shared" si="44"/>
        <v>0</v>
      </c>
      <c r="AE119" s="1">
        <f t="shared" si="45"/>
        <v>0</v>
      </c>
      <c r="AF119" s="1">
        <f t="shared" si="46"/>
        <v>0</v>
      </c>
      <c r="AG119" s="1">
        <f t="shared" si="47"/>
        <v>0</v>
      </c>
      <c r="AH119" s="1">
        <f t="shared" si="48"/>
        <v>92</v>
      </c>
      <c r="AI119" s="23">
        <f t="shared" si="49"/>
        <v>0.5</v>
      </c>
      <c r="AJ119" s="23">
        <f t="shared" si="50"/>
        <v>0.56306715063520874</v>
      </c>
      <c r="AK119" s="23">
        <f t="shared" si="51"/>
        <v>2.2522686025408349</v>
      </c>
      <c r="AL119" s="23">
        <f t="shared" si="52"/>
        <v>4.5045372050816699</v>
      </c>
      <c r="AM119" s="23">
        <f t="shared" si="53"/>
        <v>0</v>
      </c>
      <c r="AN119" s="23">
        <f t="shared" si="54"/>
        <v>4.5045372050816699</v>
      </c>
      <c r="AQ119" s="32">
        <f t="shared" si="55"/>
        <v>42736</v>
      </c>
      <c r="AR119" s="32">
        <f t="shared" si="56"/>
        <v>42916</v>
      </c>
      <c r="AS119" s="50">
        <v>5</v>
      </c>
      <c r="AT119" s="1">
        <f t="shared" si="57"/>
        <v>0</v>
      </c>
      <c r="AU119" s="1">
        <f t="shared" si="58"/>
        <v>0</v>
      </c>
      <c r="AV119" s="1">
        <f t="shared" si="59"/>
        <v>0</v>
      </c>
      <c r="AW119" s="1">
        <f t="shared" si="60"/>
        <v>0</v>
      </c>
      <c r="AX119" s="1">
        <f t="shared" si="61"/>
        <v>90.5</v>
      </c>
      <c r="AY119" s="23">
        <f t="shared" si="62"/>
        <v>0.5</v>
      </c>
      <c r="AZ119" s="23">
        <f t="shared" si="63"/>
        <v>0.56306715063520874</v>
      </c>
      <c r="BA119" s="23">
        <f t="shared" si="64"/>
        <v>1.4076678765880217</v>
      </c>
      <c r="BB119" s="23">
        <f t="shared" si="65"/>
        <v>2.8153357531760435</v>
      </c>
      <c r="BC119" s="23">
        <f t="shared" si="66"/>
        <v>0</v>
      </c>
      <c r="BD119" s="23">
        <f t="shared" si="67"/>
        <v>2.8153357531760435</v>
      </c>
    </row>
    <row r="120" spans="1:56">
      <c r="A120" s="1" t="s">
        <v>20</v>
      </c>
      <c r="B120" s="1" t="s">
        <v>32</v>
      </c>
      <c r="C120" s="1" t="s">
        <v>22</v>
      </c>
      <c r="D120" s="1" t="s">
        <v>33</v>
      </c>
      <c r="E120" s="51" t="s">
        <v>107</v>
      </c>
      <c r="F120" s="51" t="s">
        <v>108</v>
      </c>
      <c r="G120" s="51" t="s">
        <v>109</v>
      </c>
      <c r="H120" s="51" t="s">
        <v>281</v>
      </c>
      <c r="I120" s="1" t="s">
        <v>147</v>
      </c>
      <c r="J120" s="51" t="s">
        <v>112</v>
      </c>
      <c r="K120" s="51" t="s">
        <v>112</v>
      </c>
      <c r="L120" s="51" t="s">
        <v>112</v>
      </c>
      <c r="M120" s="1">
        <v>1939680</v>
      </c>
      <c r="N120" s="50" t="s">
        <v>408</v>
      </c>
      <c r="O120" s="55">
        <f t="shared" si="72"/>
        <v>41393</v>
      </c>
      <c r="P120" s="55">
        <f>DATE(2015,4,30)</f>
        <v>42124</v>
      </c>
      <c r="Q120" s="51">
        <v>1740</v>
      </c>
      <c r="S120" s="51">
        <v>2</v>
      </c>
      <c r="U120" s="1">
        <f t="shared" si="38"/>
        <v>732</v>
      </c>
      <c r="V120" s="31">
        <f t="shared" si="39"/>
        <v>2.377049180327869</v>
      </c>
      <c r="W120" s="31">
        <f t="shared" si="40"/>
        <v>867.62295081967216</v>
      </c>
      <c r="X120" s="31">
        <f t="shared" si="41"/>
        <v>1.0845286885245902</v>
      </c>
      <c r="AA120" s="32">
        <f t="shared" si="42"/>
        <v>42552</v>
      </c>
      <c r="AB120" s="32">
        <f t="shared" si="43"/>
        <v>42735</v>
      </c>
      <c r="AC120" s="50">
        <v>4</v>
      </c>
      <c r="AD120" s="1">
        <f t="shared" si="44"/>
        <v>0</v>
      </c>
      <c r="AE120" s="1">
        <f t="shared" si="45"/>
        <v>0</v>
      </c>
      <c r="AF120" s="1">
        <f t="shared" si="46"/>
        <v>0</v>
      </c>
      <c r="AG120" s="1">
        <f t="shared" si="47"/>
        <v>0</v>
      </c>
      <c r="AH120" s="1">
        <f t="shared" si="48"/>
        <v>92</v>
      </c>
      <c r="AI120" s="23">
        <f t="shared" si="49"/>
        <v>0.5</v>
      </c>
      <c r="AJ120" s="23">
        <f t="shared" si="50"/>
        <v>0.54226434426229508</v>
      </c>
      <c r="AK120" s="23">
        <f t="shared" si="51"/>
        <v>1.0845286885245902</v>
      </c>
      <c r="AL120" s="23">
        <f t="shared" si="52"/>
        <v>2.1690573770491803</v>
      </c>
      <c r="AM120" s="23">
        <f t="shared" si="53"/>
        <v>0</v>
      </c>
      <c r="AN120" s="23">
        <f t="shared" si="54"/>
        <v>2.1690573770491803</v>
      </c>
      <c r="AQ120" s="32">
        <f t="shared" si="55"/>
        <v>42736</v>
      </c>
      <c r="AR120" s="32">
        <f t="shared" si="56"/>
        <v>42916</v>
      </c>
      <c r="AS120" s="50">
        <v>4</v>
      </c>
      <c r="AT120" s="1">
        <f t="shared" si="57"/>
        <v>0</v>
      </c>
      <c r="AU120" s="1">
        <f t="shared" si="58"/>
        <v>0</v>
      </c>
      <c r="AV120" s="1">
        <f t="shared" si="59"/>
        <v>0</v>
      </c>
      <c r="AW120" s="1">
        <f t="shared" si="60"/>
        <v>0</v>
      </c>
      <c r="AX120" s="1">
        <f t="shared" si="61"/>
        <v>90.5</v>
      </c>
      <c r="AY120" s="23">
        <f t="shared" si="62"/>
        <v>0.5</v>
      </c>
      <c r="AZ120" s="23">
        <f t="shared" si="63"/>
        <v>0.54226434426229508</v>
      </c>
      <c r="BA120" s="23">
        <f t="shared" si="64"/>
        <v>1.0845286885245902</v>
      </c>
      <c r="BB120" s="23">
        <f t="shared" si="65"/>
        <v>2.1690573770491803</v>
      </c>
      <c r="BC120" s="23">
        <f t="shared" si="66"/>
        <v>0</v>
      </c>
      <c r="BD120" s="23">
        <f t="shared" si="67"/>
        <v>2.1690573770491803</v>
      </c>
    </row>
    <row r="121" spans="1:56">
      <c r="A121" s="1" t="s">
        <v>20</v>
      </c>
      <c r="B121" s="1" t="s">
        <v>32</v>
      </c>
      <c r="C121" s="1" t="s">
        <v>22</v>
      </c>
      <c r="D121" s="1" t="s">
        <v>33</v>
      </c>
      <c r="E121" s="51" t="s">
        <v>107</v>
      </c>
      <c r="F121" s="51" t="s">
        <v>108</v>
      </c>
      <c r="G121" s="51" t="s">
        <v>109</v>
      </c>
      <c r="H121" s="51" t="s">
        <v>277</v>
      </c>
      <c r="I121" s="1" t="s">
        <v>278</v>
      </c>
      <c r="J121" s="51" t="s">
        <v>112</v>
      </c>
      <c r="K121" s="51" t="s">
        <v>112</v>
      </c>
      <c r="L121" s="51" t="s">
        <v>112</v>
      </c>
      <c r="M121" s="1">
        <v>1939682</v>
      </c>
      <c r="N121" s="56" t="s">
        <v>409</v>
      </c>
      <c r="O121" s="55">
        <f t="shared" si="72"/>
        <v>41393</v>
      </c>
      <c r="P121" s="55">
        <f>DATE(2014,10,31)</f>
        <v>41943</v>
      </c>
      <c r="Q121" s="51">
        <v>1000</v>
      </c>
      <c r="S121" s="51">
        <v>1.5</v>
      </c>
      <c r="U121" s="1">
        <f t="shared" si="38"/>
        <v>551</v>
      </c>
      <c r="V121" s="31">
        <f t="shared" si="39"/>
        <v>1.8148820326678765</v>
      </c>
      <c r="W121" s="31">
        <f t="shared" si="40"/>
        <v>662.43194192377496</v>
      </c>
      <c r="X121" s="31">
        <f t="shared" si="41"/>
        <v>0.82803992740471866</v>
      </c>
      <c r="AA121" s="32">
        <f t="shared" si="42"/>
        <v>42552</v>
      </c>
      <c r="AB121" s="32">
        <f t="shared" si="43"/>
        <v>42735</v>
      </c>
      <c r="AC121" s="50">
        <v>2</v>
      </c>
      <c r="AD121" s="1">
        <f t="shared" si="44"/>
        <v>0</v>
      </c>
      <c r="AE121" s="1">
        <f t="shared" si="45"/>
        <v>0</v>
      </c>
      <c r="AF121" s="1">
        <f t="shared" si="46"/>
        <v>0</v>
      </c>
      <c r="AG121" s="1">
        <f t="shared" si="47"/>
        <v>0</v>
      </c>
      <c r="AH121" s="1">
        <f t="shared" si="48"/>
        <v>92</v>
      </c>
      <c r="AI121" s="23">
        <f t="shared" si="49"/>
        <v>0.5</v>
      </c>
      <c r="AJ121" s="23">
        <f t="shared" si="50"/>
        <v>0.41401996370235933</v>
      </c>
      <c r="AK121" s="23">
        <f t="shared" si="51"/>
        <v>0.41401996370235933</v>
      </c>
      <c r="AL121" s="23">
        <f t="shared" si="52"/>
        <v>0.62102994555353896</v>
      </c>
      <c r="AM121" s="23">
        <f t="shared" si="53"/>
        <v>0</v>
      </c>
      <c r="AN121" s="23">
        <f t="shared" si="54"/>
        <v>0.62102994555353896</v>
      </c>
      <c r="AQ121" s="32">
        <f t="shared" si="55"/>
        <v>42736</v>
      </c>
      <c r="AR121" s="32">
        <f t="shared" si="56"/>
        <v>42916</v>
      </c>
      <c r="AS121" s="56">
        <v>0</v>
      </c>
      <c r="AT121" s="1">
        <f t="shared" si="57"/>
        <v>0</v>
      </c>
      <c r="AU121" s="1">
        <f t="shared" si="58"/>
        <v>0</v>
      </c>
      <c r="AV121" s="1">
        <f t="shared" si="59"/>
        <v>0</v>
      </c>
      <c r="AW121" s="1">
        <f t="shared" si="60"/>
        <v>0</v>
      </c>
      <c r="AX121" s="1">
        <f t="shared" si="61"/>
        <v>90.5</v>
      </c>
      <c r="AY121" s="23">
        <f t="shared" si="62"/>
        <v>0.5</v>
      </c>
      <c r="AZ121" s="23">
        <f t="shared" si="63"/>
        <v>0.41401996370235933</v>
      </c>
      <c r="BA121" s="23">
        <f t="shared" si="64"/>
        <v>0</v>
      </c>
      <c r="BB121" s="23">
        <f t="shared" si="65"/>
        <v>0</v>
      </c>
      <c r="BC121" s="23">
        <f t="shared" si="66"/>
        <v>0</v>
      </c>
      <c r="BD121" s="23">
        <f t="shared" si="67"/>
        <v>0</v>
      </c>
    </row>
    <row r="122" spans="1:56">
      <c r="A122" s="1" t="s">
        <v>20</v>
      </c>
      <c r="B122" s="1" t="s">
        <v>32</v>
      </c>
      <c r="C122" s="1" t="s">
        <v>22</v>
      </c>
      <c r="D122" s="1" t="s">
        <v>33</v>
      </c>
      <c r="E122" s="51" t="s">
        <v>107</v>
      </c>
      <c r="F122" s="51" t="s">
        <v>108</v>
      </c>
      <c r="G122" s="51" t="s">
        <v>109</v>
      </c>
      <c r="H122" s="51" t="s">
        <v>110</v>
      </c>
      <c r="I122" s="1" t="s">
        <v>111</v>
      </c>
      <c r="J122" s="51" t="s">
        <v>112</v>
      </c>
      <c r="K122" s="51" t="s">
        <v>112</v>
      </c>
      <c r="L122" s="51" t="s">
        <v>112</v>
      </c>
      <c r="M122" s="1">
        <v>1939683</v>
      </c>
      <c r="N122" s="50" t="s">
        <v>410</v>
      </c>
      <c r="O122" s="55">
        <f t="shared" si="72"/>
        <v>41393</v>
      </c>
      <c r="P122" s="55">
        <f>DATE(2014,10,31)</f>
        <v>41943</v>
      </c>
      <c r="Q122" s="51">
        <v>1080</v>
      </c>
      <c r="S122" s="51">
        <v>2</v>
      </c>
      <c r="U122" s="1">
        <f t="shared" si="38"/>
        <v>551</v>
      </c>
      <c r="V122" s="31">
        <f t="shared" si="39"/>
        <v>1.9600725952813067</v>
      </c>
      <c r="W122" s="31">
        <f t="shared" si="40"/>
        <v>715.42649727767696</v>
      </c>
      <c r="X122" s="31">
        <f t="shared" si="41"/>
        <v>0.89428312159709622</v>
      </c>
      <c r="AA122" s="32">
        <f t="shared" si="42"/>
        <v>42552</v>
      </c>
      <c r="AB122" s="32">
        <f t="shared" si="43"/>
        <v>42735</v>
      </c>
      <c r="AC122" s="50">
        <v>4</v>
      </c>
      <c r="AD122" s="1">
        <f t="shared" si="44"/>
        <v>0</v>
      </c>
      <c r="AE122" s="1">
        <f t="shared" si="45"/>
        <v>0</v>
      </c>
      <c r="AF122" s="1">
        <f t="shared" si="46"/>
        <v>0</v>
      </c>
      <c r="AG122" s="1">
        <f t="shared" si="47"/>
        <v>0</v>
      </c>
      <c r="AH122" s="1">
        <f t="shared" si="48"/>
        <v>92</v>
      </c>
      <c r="AI122" s="23">
        <f t="shared" si="49"/>
        <v>0.5</v>
      </c>
      <c r="AJ122" s="23">
        <f t="shared" si="50"/>
        <v>0.44714156079854811</v>
      </c>
      <c r="AK122" s="23">
        <f t="shared" si="51"/>
        <v>0.89428312159709622</v>
      </c>
      <c r="AL122" s="23">
        <f t="shared" si="52"/>
        <v>1.7885662431941924</v>
      </c>
      <c r="AM122" s="23">
        <f t="shared" si="53"/>
        <v>0</v>
      </c>
      <c r="AN122" s="23">
        <f t="shared" si="54"/>
        <v>1.7885662431941924</v>
      </c>
      <c r="AQ122" s="32">
        <f t="shared" si="55"/>
        <v>42736</v>
      </c>
      <c r="AR122" s="32">
        <f t="shared" si="56"/>
        <v>42916</v>
      </c>
      <c r="AS122" s="50">
        <v>2</v>
      </c>
      <c r="AT122" s="1">
        <f t="shared" si="57"/>
        <v>0</v>
      </c>
      <c r="AU122" s="1">
        <f t="shared" si="58"/>
        <v>0</v>
      </c>
      <c r="AV122" s="1">
        <f t="shared" si="59"/>
        <v>0</v>
      </c>
      <c r="AW122" s="1">
        <f t="shared" si="60"/>
        <v>0</v>
      </c>
      <c r="AX122" s="1">
        <f t="shared" si="61"/>
        <v>90.5</v>
      </c>
      <c r="AY122" s="23">
        <f t="shared" si="62"/>
        <v>0.5</v>
      </c>
      <c r="AZ122" s="23">
        <f t="shared" si="63"/>
        <v>0.44714156079854811</v>
      </c>
      <c r="BA122" s="23">
        <f t="shared" si="64"/>
        <v>0.44714156079854811</v>
      </c>
      <c r="BB122" s="23">
        <f t="shared" si="65"/>
        <v>0.89428312159709622</v>
      </c>
      <c r="BC122" s="23">
        <f t="shared" si="66"/>
        <v>0</v>
      </c>
      <c r="BD122" s="23">
        <f t="shared" si="67"/>
        <v>0.89428312159709622</v>
      </c>
    </row>
    <row r="123" spans="1:56">
      <c r="A123" s="1" t="s">
        <v>20</v>
      </c>
      <c r="B123" s="1" t="s">
        <v>32</v>
      </c>
      <c r="C123" s="1" t="s">
        <v>22</v>
      </c>
      <c r="D123" s="1" t="s">
        <v>33</v>
      </c>
      <c r="E123" s="51" t="s">
        <v>107</v>
      </c>
      <c r="F123" s="51" t="s">
        <v>108</v>
      </c>
      <c r="G123" s="51" t="s">
        <v>109</v>
      </c>
      <c r="H123" s="51" t="s">
        <v>283</v>
      </c>
      <c r="I123" s="1" t="s">
        <v>128</v>
      </c>
      <c r="J123" s="51" t="s">
        <v>112</v>
      </c>
      <c r="K123" s="51" t="s">
        <v>112</v>
      </c>
      <c r="L123" s="51" t="s">
        <v>112</v>
      </c>
      <c r="M123" s="1">
        <v>1939684</v>
      </c>
      <c r="N123" s="50" t="s">
        <v>411</v>
      </c>
      <c r="O123" s="55">
        <f t="shared" si="72"/>
        <v>41393</v>
      </c>
      <c r="P123" s="55">
        <f t="shared" ref="P123:P134" si="73">DATE(2016,10,31)</f>
        <v>42674</v>
      </c>
      <c r="Q123" s="51">
        <v>3462</v>
      </c>
      <c r="S123" s="51">
        <v>2.5</v>
      </c>
      <c r="U123" s="1">
        <f t="shared" si="38"/>
        <v>1282</v>
      </c>
      <c r="V123" s="31">
        <f t="shared" si="39"/>
        <v>2.7004680187207488</v>
      </c>
      <c r="W123" s="31">
        <f t="shared" si="40"/>
        <v>985.67082683307331</v>
      </c>
      <c r="X123" s="31">
        <f t="shared" si="41"/>
        <v>1.2320885335413416</v>
      </c>
      <c r="AA123" s="32">
        <f t="shared" si="42"/>
        <v>42552</v>
      </c>
      <c r="AB123" s="32">
        <f t="shared" si="43"/>
        <v>42735</v>
      </c>
      <c r="AC123" s="50">
        <v>22</v>
      </c>
      <c r="AD123" s="1">
        <f t="shared" si="44"/>
        <v>0</v>
      </c>
      <c r="AE123" s="1">
        <f t="shared" si="45"/>
        <v>0</v>
      </c>
      <c r="AF123" s="1">
        <f t="shared" si="46"/>
        <v>123</v>
      </c>
      <c r="AG123" s="1">
        <f t="shared" si="47"/>
        <v>0</v>
      </c>
      <c r="AH123" s="1">
        <f t="shared" si="48"/>
        <v>0</v>
      </c>
      <c r="AI123" s="23">
        <f t="shared" si="49"/>
        <v>0.66847826086956519</v>
      </c>
      <c r="AJ123" s="23">
        <f t="shared" si="50"/>
        <v>0.82362440013904903</v>
      </c>
      <c r="AK123" s="23">
        <f t="shared" si="51"/>
        <v>18.11973680305908</v>
      </c>
      <c r="AL123" s="23">
        <f t="shared" si="52"/>
        <v>45.299342007647702</v>
      </c>
      <c r="AM123" s="23">
        <f t="shared" si="53"/>
        <v>0</v>
      </c>
      <c r="AN123" s="23">
        <f t="shared" si="54"/>
        <v>45.299342007647702</v>
      </c>
      <c r="AQ123" s="32">
        <f t="shared" si="55"/>
        <v>42736</v>
      </c>
      <c r="AR123" s="32">
        <f t="shared" si="56"/>
        <v>42916</v>
      </c>
      <c r="AS123" s="50">
        <v>14</v>
      </c>
      <c r="AT123" s="1">
        <f t="shared" si="57"/>
        <v>0</v>
      </c>
      <c r="AU123" s="1">
        <f t="shared" si="58"/>
        <v>0</v>
      </c>
      <c r="AV123" s="1">
        <f t="shared" si="59"/>
        <v>0</v>
      </c>
      <c r="AW123" s="1">
        <f t="shared" si="60"/>
        <v>0</v>
      </c>
      <c r="AX123" s="1">
        <f t="shared" si="61"/>
        <v>90.5</v>
      </c>
      <c r="AY123" s="23">
        <f t="shared" si="62"/>
        <v>0.5</v>
      </c>
      <c r="AZ123" s="23">
        <f t="shared" si="63"/>
        <v>0.61604426677067081</v>
      </c>
      <c r="BA123" s="23">
        <f t="shared" si="64"/>
        <v>4.3123098673946956</v>
      </c>
      <c r="BB123" s="23">
        <f t="shared" si="65"/>
        <v>10.780774668486739</v>
      </c>
      <c r="BC123" s="23">
        <f t="shared" si="66"/>
        <v>0</v>
      </c>
      <c r="BD123" s="23">
        <f t="shared" si="67"/>
        <v>10.780774668486739</v>
      </c>
    </row>
    <row r="124" spans="1:56">
      <c r="A124" s="1" t="s">
        <v>20</v>
      </c>
      <c r="B124" s="1" t="s">
        <v>32</v>
      </c>
      <c r="C124" s="1" t="s">
        <v>22</v>
      </c>
      <c r="D124" s="1" t="s">
        <v>33</v>
      </c>
      <c r="E124" s="51" t="s">
        <v>107</v>
      </c>
      <c r="F124" s="51" t="s">
        <v>108</v>
      </c>
      <c r="G124" s="51" t="s">
        <v>109</v>
      </c>
      <c r="H124" s="51" t="s">
        <v>124</v>
      </c>
      <c r="I124" s="1" t="s">
        <v>125</v>
      </c>
      <c r="J124" s="51" t="s">
        <v>112</v>
      </c>
      <c r="K124" s="51" t="s">
        <v>112</v>
      </c>
      <c r="L124" s="51" t="s">
        <v>112</v>
      </c>
      <c r="M124" s="1">
        <v>1939685</v>
      </c>
      <c r="N124" s="50" t="s">
        <v>412</v>
      </c>
      <c r="O124" s="55">
        <f t="shared" si="72"/>
        <v>41393</v>
      </c>
      <c r="P124" s="55">
        <f t="shared" si="73"/>
        <v>42674</v>
      </c>
      <c r="Q124" s="51">
        <v>3322</v>
      </c>
      <c r="S124" s="51">
        <v>2.5</v>
      </c>
      <c r="U124" s="1">
        <f t="shared" si="38"/>
        <v>1282</v>
      </c>
      <c r="V124" s="31">
        <f t="shared" si="39"/>
        <v>2.591263650546022</v>
      </c>
      <c r="W124" s="31">
        <f t="shared" si="40"/>
        <v>945.81123244929802</v>
      </c>
      <c r="X124" s="31">
        <f t="shared" si="41"/>
        <v>1.1822640405616225</v>
      </c>
      <c r="AA124" s="32">
        <f t="shared" si="42"/>
        <v>42552</v>
      </c>
      <c r="AB124" s="32">
        <f t="shared" si="43"/>
        <v>42735</v>
      </c>
      <c r="AC124" s="50">
        <v>25</v>
      </c>
      <c r="AD124" s="1">
        <f t="shared" si="44"/>
        <v>0</v>
      </c>
      <c r="AE124" s="1">
        <f t="shared" si="45"/>
        <v>0</v>
      </c>
      <c r="AF124" s="1">
        <f t="shared" si="46"/>
        <v>123</v>
      </c>
      <c r="AG124" s="1">
        <f t="shared" si="47"/>
        <v>0</v>
      </c>
      <c r="AH124" s="1">
        <f t="shared" si="48"/>
        <v>0</v>
      </c>
      <c r="AI124" s="23">
        <f t="shared" si="49"/>
        <v>0.66847826086956519</v>
      </c>
      <c r="AJ124" s="23">
        <f t="shared" si="50"/>
        <v>0.79031780972325849</v>
      </c>
      <c r="AK124" s="23">
        <f t="shared" si="51"/>
        <v>19.757945243081462</v>
      </c>
      <c r="AL124" s="23">
        <f t="shared" si="52"/>
        <v>49.394863107703657</v>
      </c>
      <c r="AM124" s="23">
        <f t="shared" si="53"/>
        <v>0</v>
      </c>
      <c r="AN124" s="23">
        <f t="shared" si="54"/>
        <v>49.394863107703657</v>
      </c>
      <c r="AQ124" s="32">
        <f t="shared" si="55"/>
        <v>42736</v>
      </c>
      <c r="AR124" s="32">
        <f t="shared" si="56"/>
        <v>42916</v>
      </c>
      <c r="AS124" s="50">
        <v>24</v>
      </c>
      <c r="AT124" s="1">
        <f t="shared" si="57"/>
        <v>0</v>
      </c>
      <c r="AU124" s="1">
        <f t="shared" si="58"/>
        <v>0</v>
      </c>
      <c r="AV124" s="1">
        <f t="shared" si="59"/>
        <v>0</v>
      </c>
      <c r="AW124" s="1">
        <f t="shared" si="60"/>
        <v>0</v>
      </c>
      <c r="AX124" s="1">
        <f t="shared" si="61"/>
        <v>90.5</v>
      </c>
      <c r="AY124" s="23">
        <f t="shared" si="62"/>
        <v>0.5</v>
      </c>
      <c r="AZ124" s="23">
        <f t="shared" si="63"/>
        <v>0.59113202028081124</v>
      </c>
      <c r="BA124" s="23">
        <f t="shared" si="64"/>
        <v>7.0935842433697349</v>
      </c>
      <c r="BB124" s="23">
        <f t="shared" si="65"/>
        <v>17.733960608424336</v>
      </c>
      <c r="BC124" s="23">
        <f t="shared" si="66"/>
        <v>0</v>
      </c>
      <c r="BD124" s="23">
        <f t="shared" si="67"/>
        <v>17.733960608424336</v>
      </c>
    </row>
    <row r="125" spans="1:56">
      <c r="A125" s="1" t="s">
        <v>20</v>
      </c>
      <c r="B125" s="1" t="s">
        <v>32</v>
      </c>
      <c r="C125" s="1" t="s">
        <v>22</v>
      </c>
      <c r="D125" s="1" t="s">
        <v>33</v>
      </c>
      <c r="E125" s="51" t="s">
        <v>107</v>
      </c>
      <c r="F125" s="51" t="s">
        <v>108</v>
      </c>
      <c r="G125" s="51" t="s">
        <v>109</v>
      </c>
      <c r="H125" s="51" t="s">
        <v>290</v>
      </c>
      <c r="I125" s="1" t="s">
        <v>125</v>
      </c>
      <c r="J125" s="51" t="s">
        <v>112</v>
      </c>
      <c r="K125" s="51" t="s">
        <v>112</v>
      </c>
      <c r="L125" s="51" t="s">
        <v>112</v>
      </c>
      <c r="M125" s="1">
        <v>1939686</v>
      </c>
      <c r="N125" s="50" t="s">
        <v>413</v>
      </c>
      <c r="O125" s="55">
        <f t="shared" si="72"/>
        <v>41393</v>
      </c>
      <c r="P125" s="55">
        <f t="shared" si="73"/>
        <v>42674</v>
      </c>
      <c r="Q125" s="51">
        <v>3404</v>
      </c>
      <c r="S125" s="51">
        <v>2.5</v>
      </c>
      <c r="U125" s="1">
        <f t="shared" si="38"/>
        <v>1282</v>
      </c>
      <c r="V125" s="31">
        <f t="shared" si="39"/>
        <v>2.655226209048362</v>
      </c>
      <c r="W125" s="31">
        <f t="shared" si="40"/>
        <v>969.15756630265219</v>
      </c>
      <c r="X125" s="31">
        <f t="shared" si="41"/>
        <v>1.2114469578783151</v>
      </c>
      <c r="AA125" s="32">
        <f t="shared" si="42"/>
        <v>42552</v>
      </c>
      <c r="AB125" s="32">
        <f t="shared" si="43"/>
        <v>42735</v>
      </c>
      <c r="AC125" s="50">
        <v>23</v>
      </c>
      <c r="AD125" s="1">
        <f t="shared" si="44"/>
        <v>0</v>
      </c>
      <c r="AE125" s="1">
        <f t="shared" si="45"/>
        <v>0</v>
      </c>
      <c r="AF125" s="1">
        <f t="shared" si="46"/>
        <v>123</v>
      </c>
      <c r="AG125" s="1">
        <f t="shared" si="47"/>
        <v>0</v>
      </c>
      <c r="AH125" s="1">
        <f t="shared" si="48"/>
        <v>0</v>
      </c>
      <c r="AI125" s="23">
        <f t="shared" si="49"/>
        <v>0.66847826086956519</v>
      </c>
      <c r="AJ125" s="23">
        <f t="shared" si="50"/>
        <v>0.80982595553822145</v>
      </c>
      <c r="AK125" s="23">
        <f t="shared" si="51"/>
        <v>18.625996977379092</v>
      </c>
      <c r="AL125" s="23">
        <f t="shared" si="52"/>
        <v>46.564992443447728</v>
      </c>
      <c r="AM125" s="23">
        <f t="shared" si="53"/>
        <v>0</v>
      </c>
      <c r="AN125" s="23">
        <f t="shared" si="54"/>
        <v>46.564992443447728</v>
      </c>
      <c r="AQ125" s="32">
        <f t="shared" si="55"/>
        <v>42736</v>
      </c>
      <c r="AR125" s="32">
        <f t="shared" si="56"/>
        <v>42916</v>
      </c>
      <c r="AS125" s="50">
        <v>21</v>
      </c>
      <c r="AT125" s="1">
        <f t="shared" si="57"/>
        <v>0</v>
      </c>
      <c r="AU125" s="1">
        <f t="shared" si="58"/>
        <v>0</v>
      </c>
      <c r="AV125" s="1">
        <f t="shared" si="59"/>
        <v>0</v>
      </c>
      <c r="AW125" s="1">
        <f t="shared" si="60"/>
        <v>0</v>
      </c>
      <c r="AX125" s="1">
        <f t="shared" si="61"/>
        <v>90.5</v>
      </c>
      <c r="AY125" s="23">
        <f t="shared" si="62"/>
        <v>0.5</v>
      </c>
      <c r="AZ125" s="23">
        <f t="shared" si="63"/>
        <v>0.60572347893915757</v>
      </c>
      <c r="BA125" s="23">
        <f t="shared" si="64"/>
        <v>6.3600965288611544</v>
      </c>
      <c r="BB125" s="23">
        <f t="shared" si="65"/>
        <v>15.900241322152887</v>
      </c>
      <c r="BC125" s="23">
        <f t="shared" si="66"/>
        <v>0</v>
      </c>
      <c r="BD125" s="23">
        <f t="shared" si="67"/>
        <v>15.900241322152887</v>
      </c>
    </row>
    <row r="126" spans="1:56">
      <c r="A126" s="1" t="s">
        <v>20</v>
      </c>
      <c r="B126" s="1" t="s">
        <v>32</v>
      </c>
      <c r="C126" s="1" t="s">
        <v>22</v>
      </c>
      <c r="D126" s="1" t="s">
        <v>33</v>
      </c>
      <c r="E126" s="51" t="s">
        <v>107</v>
      </c>
      <c r="F126" s="51" t="s">
        <v>108</v>
      </c>
      <c r="G126" s="51" t="s">
        <v>109</v>
      </c>
      <c r="H126" s="51" t="s">
        <v>285</v>
      </c>
      <c r="I126" s="1" t="s">
        <v>125</v>
      </c>
      <c r="J126" s="51" t="s">
        <v>112</v>
      </c>
      <c r="K126" s="51" t="s">
        <v>112</v>
      </c>
      <c r="L126" s="51" t="s">
        <v>112</v>
      </c>
      <c r="M126" s="1">
        <v>1939687</v>
      </c>
      <c r="N126" s="50" t="s">
        <v>414</v>
      </c>
      <c r="O126" s="55">
        <f t="shared" si="72"/>
        <v>41393</v>
      </c>
      <c r="P126" s="55">
        <f t="shared" si="73"/>
        <v>42674</v>
      </c>
      <c r="Q126" s="51">
        <v>3115</v>
      </c>
      <c r="S126" s="51">
        <v>2.5</v>
      </c>
      <c r="U126" s="1">
        <f t="shared" si="38"/>
        <v>1282</v>
      </c>
      <c r="V126" s="31">
        <f t="shared" si="39"/>
        <v>2.4297971918876753</v>
      </c>
      <c r="W126" s="31">
        <f t="shared" si="40"/>
        <v>886.87597503900145</v>
      </c>
      <c r="X126" s="31">
        <f t="shared" si="41"/>
        <v>1.1085949687987517</v>
      </c>
      <c r="AA126" s="32">
        <f t="shared" si="42"/>
        <v>42552</v>
      </c>
      <c r="AB126" s="32">
        <f t="shared" si="43"/>
        <v>42735</v>
      </c>
      <c r="AC126" s="50">
        <v>26</v>
      </c>
      <c r="AD126" s="1">
        <f t="shared" si="44"/>
        <v>0</v>
      </c>
      <c r="AE126" s="1">
        <f t="shared" si="45"/>
        <v>0</v>
      </c>
      <c r="AF126" s="1">
        <f t="shared" si="46"/>
        <v>123</v>
      </c>
      <c r="AG126" s="1">
        <f t="shared" si="47"/>
        <v>0</v>
      </c>
      <c r="AH126" s="1">
        <f t="shared" si="48"/>
        <v>0</v>
      </c>
      <c r="AI126" s="23">
        <f t="shared" si="49"/>
        <v>0.66847826086956519</v>
      </c>
      <c r="AJ126" s="23">
        <f t="shared" si="50"/>
        <v>0.74107163675133947</v>
      </c>
      <c r="AK126" s="23">
        <f t="shared" si="51"/>
        <v>19.267862555534826</v>
      </c>
      <c r="AL126" s="23">
        <f t="shared" si="52"/>
        <v>48.169656388837069</v>
      </c>
      <c r="AM126" s="23">
        <f t="shared" si="53"/>
        <v>0</v>
      </c>
      <c r="AN126" s="23">
        <f t="shared" si="54"/>
        <v>48.169656388837069</v>
      </c>
      <c r="AQ126" s="32">
        <f t="shared" si="55"/>
        <v>42736</v>
      </c>
      <c r="AR126" s="32">
        <f t="shared" si="56"/>
        <v>42916</v>
      </c>
      <c r="AS126" s="50">
        <v>21</v>
      </c>
      <c r="AT126" s="1">
        <f t="shared" si="57"/>
        <v>0</v>
      </c>
      <c r="AU126" s="1">
        <f t="shared" si="58"/>
        <v>0</v>
      </c>
      <c r="AV126" s="1">
        <f t="shared" si="59"/>
        <v>0</v>
      </c>
      <c r="AW126" s="1">
        <f t="shared" si="60"/>
        <v>0</v>
      </c>
      <c r="AX126" s="1">
        <f t="shared" si="61"/>
        <v>90.5</v>
      </c>
      <c r="AY126" s="23">
        <f t="shared" si="62"/>
        <v>0.5</v>
      </c>
      <c r="AZ126" s="23">
        <f t="shared" si="63"/>
        <v>0.55429748439937587</v>
      </c>
      <c r="BA126" s="23">
        <f t="shared" si="64"/>
        <v>5.8201235861934464</v>
      </c>
      <c r="BB126" s="23">
        <f t="shared" si="65"/>
        <v>14.550308965483616</v>
      </c>
      <c r="BC126" s="23">
        <f t="shared" si="66"/>
        <v>0</v>
      </c>
      <c r="BD126" s="23">
        <f t="shared" si="67"/>
        <v>14.550308965483616</v>
      </c>
    </row>
    <row r="127" spans="1:56">
      <c r="A127" s="1" t="s">
        <v>20</v>
      </c>
      <c r="B127" s="1" t="s">
        <v>32</v>
      </c>
      <c r="C127" s="1" t="s">
        <v>22</v>
      </c>
      <c r="D127" s="1" t="s">
        <v>33</v>
      </c>
      <c r="E127" s="51" t="s">
        <v>107</v>
      </c>
      <c r="F127" s="51" t="s">
        <v>108</v>
      </c>
      <c r="G127" s="51" t="s">
        <v>109</v>
      </c>
      <c r="H127" s="51" t="s">
        <v>127</v>
      </c>
      <c r="I127" s="1" t="s">
        <v>128</v>
      </c>
      <c r="J127" s="51" t="s">
        <v>112</v>
      </c>
      <c r="K127" s="51" t="s">
        <v>112</v>
      </c>
      <c r="L127" s="51" t="s">
        <v>112</v>
      </c>
      <c r="M127" s="1">
        <v>1939688</v>
      </c>
      <c r="N127" s="50" t="s">
        <v>415</v>
      </c>
      <c r="O127" s="55">
        <f t="shared" si="72"/>
        <v>41393</v>
      </c>
      <c r="P127" s="55">
        <f t="shared" si="73"/>
        <v>42674</v>
      </c>
      <c r="Q127" s="51">
        <v>3359</v>
      </c>
      <c r="S127" s="51">
        <v>2.5</v>
      </c>
      <c r="U127" s="1">
        <f t="shared" si="38"/>
        <v>1282</v>
      </c>
      <c r="V127" s="31">
        <f t="shared" si="39"/>
        <v>2.6201248049921997</v>
      </c>
      <c r="W127" s="31">
        <f t="shared" si="40"/>
        <v>956.34555382215285</v>
      </c>
      <c r="X127" s="31">
        <f t="shared" si="41"/>
        <v>1.1954319422776911</v>
      </c>
      <c r="AA127" s="32">
        <f t="shared" si="42"/>
        <v>42552</v>
      </c>
      <c r="AB127" s="32">
        <f t="shared" si="43"/>
        <v>42735</v>
      </c>
      <c r="AC127" s="50">
        <v>23</v>
      </c>
      <c r="AD127" s="1">
        <f t="shared" si="44"/>
        <v>0</v>
      </c>
      <c r="AE127" s="1">
        <f t="shared" si="45"/>
        <v>0</v>
      </c>
      <c r="AF127" s="1">
        <f t="shared" si="46"/>
        <v>123</v>
      </c>
      <c r="AG127" s="1">
        <f t="shared" si="47"/>
        <v>0</v>
      </c>
      <c r="AH127" s="1">
        <f t="shared" si="48"/>
        <v>0</v>
      </c>
      <c r="AI127" s="23">
        <f t="shared" si="49"/>
        <v>0.66847826086956519</v>
      </c>
      <c r="AJ127" s="23">
        <f t="shared" si="50"/>
        <v>0.79912026576171735</v>
      </c>
      <c r="AK127" s="23">
        <f t="shared" si="51"/>
        <v>18.379766112519498</v>
      </c>
      <c r="AL127" s="23">
        <f t="shared" si="52"/>
        <v>45.949415281298741</v>
      </c>
      <c r="AM127" s="23">
        <f t="shared" si="53"/>
        <v>0</v>
      </c>
      <c r="AN127" s="23">
        <f t="shared" si="54"/>
        <v>45.949415281298741</v>
      </c>
      <c r="AQ127" s="32">
        <f t="shared" si="55"/>
        <v>42736</v>
      </c>
      <c r="AR127" s="32">
        <f t="shared" si="56"/>
        <v>42916</v>
      </c>
      <c r="AS127" s="50">
        <v>13</v>
      </c>
      <c r="AT127" s="1">
        <f t="shared" si="57"/>
        <v>0</v>
      </c>
      <c r="AU127" s="1">
        <f t="shared" si="58"/>
        <v>0</v>
      </c>
      <c r="AV127" s="1">
        <f t="shared" si="59"/>
        <v>0</v>
      </c>
      <c r="AW127" s="1">
        <f t="shared" si="60"/>
        <v>0</v>
      </c>
      <c r="AX127" s="1">
        <f t="shared" si="61"/>
        <v>90.5</v>
      </c>
      <c r="AY127" s="23">
        <f t="shared" si="62"/>
        <v>0.5</v>
      </c>
      <c r="AZ127" s="23">
        <f t="shared" si="63"/>
        <v>0.59771597113884556</v>
      </c>
      <c r="BA127" s="23">
        <f t="shared" si="64"/>
        <v>3.8851538124024962</v>
      </c>
      <c r="BB127" s="23">
        <f t="shared" si="65"/>
        <v>9.7128845310062406</v>
      </c>
      <c r="BC127" s="23">
        <f t="shared" si="66"/>
        <v>0</v>
      </c>
      <c r="BD127" s="23">
        <f t="shared" si="67"/>
        <v>9.7128845310062406</v>
      </c>
    </row>
    <row r="128" spans="1:56">
      <c r="A128" s="1" t="s">
        <v>20</v>
      </c>
      <c r="B128" s="1" t="s">
        <v>32</v>
      </c>
      <c r="C128" s="1" t="s">
        <v>22</v>
      </c>
      <c r="D128" s="1" t="s">
        <v>33</v>
      </c>
      <c r="E128" s="51" t="s">
        <v>107</v>
      </c>
      <c r="F128" s="51" t="s">
        <v>108</v>
      </c>
      <c r="G128" s="51" t="s">
        <v>109</v>
      </c>
      <c r="H128" s="51" t="s">
        <v>275</v>
      </c>
      <c r="I128" s="1" t="s">
        <v>128</v>
      </c>
      <c r="J128" s="51" t="s">
        <v>112</v>
      </c>
      <c r="K128" s="51" t="s">
        <v>112</v>
      </c>
      <c r="L128" s="51" t="s">
        <v>112</v>
      </c>
      <c r="M128" s="1">
        <v>1939689</v>
      </c>
      <c r="N128" s="50" t="s">
        <v>416</v>
      </c>
      <c r="O128" s="55">
        <f t="shared" si="72"/>
        <v>41393</v>
      </c>
      <c r="P128" s="55">
        <f t="shared" si="73"/>
        <v>42674</v>
      </c>
      <c r="Q128" s="51">
        <v>3270</v>
      </c>
      <c r="S128" s="51">
        <v>2.5</v>
      </c>
      <c r="U128" s="1">
        <f t="shared" si="38"/>
        <v>1282</v>
      </c>
      <c r="V128" s="31">
        <f t="shared" si="39"/>
        <v>2.5507020280811235</v>
      </c>
      <c r="W128" s="31">
        <f t="shared" si="40"/>
        <v>931.00624024961007</v>
      </c>
      <c r="X128" s="31">
        <f t="shared" si="41"/>
        <v>1.1637578003120126</v>
      </c>
      <c r="AA128" s="32">
        <f t="shared" si="42"/>
        <v>42552</v>
      </c>
      <c r="AB128" s="32">
        <f t="shared" si="43"/>
        <v>42735</v>
      </c>
      <c r="AC128" s="50">
        <v>18</v>
      </c>
      <c r="AD128" s="1">
        <f t="shared" si="44"/>
        <v>0</v>
      </c>
      <c r="AE128" s="1">
        <f t="shared" si="45"/>
        <v>0</v>
      </c>
      <c r="AF128" s="1">
        <f t="shared" si="46"/>
        <v>123</v>
      </c>
      <c r="AG128" s="1">
        <f t="shared" si="47"/>
        <v>0</v>
      </c>
      <c r="AH128" s="1">
        <f t="shared" si="48"/>
        <v>0</v>
      </c>
      <c r="AI128" s="23">
        <f t="shared" si="49"/>
        <v>0.66847826086956519</v>
      </c>
      <c r="AJ128" s="23">
        <f t="shared" si="50"/>
        <v>0.77794679042596493</v>
      </c>
      <c r="AK128" s="23">
        <f t="shared" si="51"/>
        <v>14.003042227667368</v>
      </c>
      <c r="AL128" s="23">
        <f t="shared" si="52"/>
        <v>35.007605569168419</v>
      </c>
      <c r="AM128" s="23">
        <f t="shared" si="53"/>
        <v>0</v>
      </c>
      <c r="AN128" s="23">
        <f t="shared" si="54"/>
        <v>35.007605569168419</v>
      </c>
      <c r="AQ128" s="32">
        <f t="shared" si="55"/>
        <v>42736</v>
      </c>
      <c r="AR128" s="32">
        <f t="shared" si="56"/>
        <v>42916</v>
      </c>
      <c r="AS128" s="50">
        <v>18</v>
      </c>
      <c r="AT128" s="1">
        <f t="shared" si="57"/>
        <v>0</v>
      </c>
      <c r="AU128" s="1">
        <f t="shared" si="58"/>
        <v>0</v>
      </c>
      <c r="AV128" s="1">
        <f t="shared" si="59"/>
        <v>0</v>
      </c>
      <c r="AW128" s="1">
        <f t="shared" si="60"/>
        <v>0</v>
      </c>
      <c r="AX128" s="1">
        <f t="shared" si="61"/>
        <v>90.5</v>
      </c>
      <c r="AY128" s="23">
        <f t="shared" si="62"/>
        <v>0.5</v>
      </c>
      <c r="AZ128" s="23">
        <f t="shared" si="63"/>
        <v>0.5818789001560063</v>
      </c>
      <c r="BA128" s="23">
        <f t="shared" si="64"/>
        <v>5.2369101014040567</v>
      </c>
      <c r="BB128" s="23">
        <f t="shared" si="65"/>
        <v>13.092275253510142</v>
      </c>
      <c r="BC128" s="23">
        <f t="shared" si="66"/>
        <v>0</v>
      </c>
      <c r="BD128" s="23">
        <f t="shared" si="67"/>
        <v>13.092275253510142</v>
      </c>
    </row>
    <row r="129" spans="1:56">
      <c r="A129" s="1" t="s">
        <v>20</v>
      </c>
      <c r="B129" s="1" t="s">
        <v>32</v>
      </c>
      <c r="C129" s="1" t="s">
        <v>22</v>
      </c>
      <c r="D129" s="1" t="s">
        <v>33</v>
      </c>
      <c r="E129" s="51" t="s">
        <v>107</v>
      </c>
      <c r="F129" s="51" t="s">
        <v>108</v>
      </c>
      <c r="G129" s="51" t="s">
        <v>109</v>
      </c>
      <c r="H129" s="51" t="s">
        <v>273</v>
      </c>
      <c r="I129" s="1" t="s">
        <v>128</v>
      </c>
      <c r="J129" s="51" t="s">
        <v>112</v>
      </c>
      <c r="K129" s="51" t="s">
        <v>112</v>
      </c>
      <c r="L129" s="51" t="s">
        <v>112</v>
      </c>
      <c r="M129" s="1">
        <v>1939690</v>
      </c>
      <c r="N129" s="50" t="s">
        <v>417</v>
      </c>
      <c r="O129" s="55">
        <f t="shared" si="72"/>
        <v>41393</v>
      </c>
      <c r="P129" s="55">
        <f t="shared" si="73"/>
        <v>42674</v>
      </c>
      <c r="Q129" s="51">
        <v>3180</v>
      </c>
      <c r="S129" s="51">
        <v>2.5</v>
      </c>
      <c r="U129" s="1">
        <f t="shared" si="38"/>
        <v>1282</v>
      </c>
      <c r="V129" s="31">
        <f t="shared" si="39"/>
        <v>2.4804992199687987</v>
      </c>
      <c r="W129" s="31">
        <f t="shared" si="40"/>
        <v>905.38221528861152</v>
      </c>
      <c r="X129" s="31">
        <f t="shared" si="41"/>
        <v>1.1317277691107643</v>
      </c>
      <c r="AA129" s="32">
        <f t="shared" si="42"/>
        <v>42552</v>
      </c>
      <c r="AB129" s="32">
        <f t="shared" si="43"/>
        <v>42735</v>
      </c>
      <c r="AC129" s="50">
        <v>18</v>
      </c>
      <c r="AD129" s="1">
        <f t="shared" si="44"/>
        <v>0</v>
      </c>
      <c r="AE129" s="1">
        <f t="shared" si="45"/>
        <v>0</v>
      </c>
      <c r="AF129" s="1">
        <f t="shared" si="46"/>
        <v>123</v>
      </c>
      <c r="AG129" s="1">
        <f t="shared" si="47"/>
        <v>0</v>
      </c>
      <c r="AH129" s="1">
        <f t="shared" si="48"/>
        <v>0</v>
      </c>
      <c r="AI129" s="23">
        <f t="shared" si="49"/>
        <v>0.66847826086956519</v>
      </c>
      <c r="AJ129" s="23">
        <f t="shared" si="50"/>
        <v>0.75653541087295662</v>
      </c>
      <c r="AK129" s="23">
        <f t="shared" si="51"/>
        <v>13.617637395713219</v>
      </c>
      <c r="AL129" s="23">
        <f t="shared" si="52"/>
        <v>34.04409348928305</v>
      </c>
      <c r="AM129" s="23">
        <f t="shared" si="53"/>
        <v>0</v>
      </c>
      <c r="AN129" s="23">
        <f t="shared" si="54"/>
        <v>34.04409348928305</v>
      </c>
      <c r="AQ129" s="32">
        <f t="shared" si="55"/>
        <v>42736</v>
      </c>
      <c r="AR129" s="32">
        <f t="shared" si="56"/>
        <v>42916</v>
      </c>
      <c r="AS129" s="50">
        <v>18</v>
      </c>
      <c r="AT129" s="1">
        <f t="shared" si="57"/>
        <v>0</v>
      </c>
      <c r="AU129" s="1">
        <f t="shared" si="58"/>
        <v>0</v>
      </c>
      <c r="AV129" s="1">
        <f t="shared" si="59"/>
        <v>0</v>
      </c>
      <c r="AW129" s="1">
        <f t="shared" si="60"/>
        <v>0</v>
      </c>
      <c r="AX129" s="1">
        <f t="shared" si="61"/>
        <v>90.5</v>
      </c>
      <c r="AY129" s="23">
        <f t="shared" si="62"/>
        <v>0.5</v>
      </c>
      <c r="AZ129" s="23">
        <f t="shared" si="63"/>
        <v>0.56586388455538217</v>
      </c>
      <c r="BA129" s="23">
        <f t="shared" si="64"/>
        <v>5.0927749609984394</v>
      </c>
      <c r="BB129" s="23">
        <f t="shared" si="65"/>
        <v>12.731937402496099</v>
      </c>
      <c r="BC129" s="23">
        <f t="shared" si="66"/>
        <v>0</v>
      </c>
      <c r="BD129" s="23">
        <f t="shared" si="67"/>
        <v>12.731937402496099</v>
      </c>
    </row>
    <row r="130" spans="1:56">
      <c r="A130" s="1" t="s">
        <v>20</v>
      </c>
      <c r="B130" s="1" t="s">
        <v>32</v>
      </c>
      <c r="C130" s="1" t="s">
        <v>22</v>
      </c>
      <c r="D130" s="1" t="s">
        <v>33</v>
      </c>
      <c r="E130" s="51" t="s">
        <v>107</v>
      </c>
      <c r="F130" s="51" t="s">
        <v>108</v>
      </c>
      <c r="G130" s="51" t="s">
        <v>109</v>
      </c>
      <c r="H130" s="51" t="s">
        <v>287</v>
      </c>
      <c r="I130" s="1" t="s">
        <v>111</v>
      </c>
      <c r="J130" s="51" t="s">
        <v>112</v>
      </c>
      <c r="K130" s="51" t="s">
        <v>112</v>
      </c>
      <c r="L130" s="51" t="s">
        <v>112</v>
      </c>
      <c r="M130" s="1">
        <v>1939692</v>
      </c>
      <c r="N130" s="50" t="s">
        <v>418</v>
      </c>
      <c r="O130" s="55">
        <f t="shared" si="72"/>
        <v>41393</v>
      </c>
      <c r="P130" s="55">
        <f t="shared" si="73"/>
        <v>42674</v>
      </c>
      <c r="Q130" s="51">
        <v>3227</v>
      </c>
      <c r="S130" s="51">
        <v>2.5</v>
      </c>
      <c r="U130" s="1">
        <f t="shared" si="38"/>
        <v>1282</v>
      </c>
      <c r="V130" s="31">
        <f t="shared" si="39"/>
        <v>2.5171606864274572</v>
      </c>
      <c r="W130" s="31">
        <f t="shared" si="40"/>
        <v>918.76365054602184</v>
      </c>
      <c r="X130" s="31">
        <f t="shared" si="41"/>
        <v>1.1484545631825274</v>
      </c>
      <c r="AA130" s="32">
        <f t="shared" si="42"/>
        <v>42552</v>
      </c>
      <c r="AB130" s="32">
        <f t="shared" si="43"/>
        <v>42735</v>
      </c>
      <c r="AC130" s="50">
        <v>20</v>
      </c>
      <c r="AD130" s="1">
        <f t="shared" si="44"/>
        <v>0</v>
      </c>
      <c r="AE130" s="1">
        <f t="shared" si="45"/>
        <v>0</v>
      </c>
      <c r="AF130" s="1">
        <f t="shared" si="46"/>
        <v>123</v>
      </c>
      <c r="AG130" s="1">
        <f t="shared" si="47"/>
        <v>0</v>
      </c>
      <c r="AH130" s="1">
        <f t="shared" si="48"/>
        <v>0</v>
      </c>
      <c r="AI130" s="23">
        <f t="shared" si="49"/>
        <v>0.66847826086956519</v>
      </c>
      <c r="AJ130" s="23">
        <f t="shared" si="50"/>
        <v>0.76771690908397205</v>
      </c>
      <c r="AK130" s="23">
        <f t="shared" si="51"/>
        <v>15.354338181679442</v>
      </c>
      <c r="AL130" s="23">
        <f t="shared" si="52"/>
        <v>38.385845454198602</v>
      </c>
      <c r="AM130" s="23">
        <f t="shared" si="53"/>
        <v>0</v>
      </c>
      <c r="AN130" s="23">
        <f t="shared" si="54"/>
        <v>38.385845454198602</v>
      </c>
      <c r="AQ130" s="32">
        <f t="shared" si="55"/>
        <v>42736</v>
      </c>
      <c r="AR130" s="32">
        <f t="shared" si="56"/>
        <v>42916</v>
      </c>
      <c r="AS130" s="50">
        <v>18</v>
      </c>
      <c r="AT130" s="1">
        <f t="shared" si="57"/>
        <v>0</v>
      </c>
      <c r="AU130" s="1">
        <f t="shared" si="58"/>
        <v>0</v>
      </c>
      <c r="AV130" s="1">
        <f t="shared" si="59"/>
        <v>0</v>
      </c>
      <c r="AW130" s="1">
        <f t="shared" si="60"/>
        <v>0</v>
      </c>
      <c r="AX130" s="1">
        <f t="shared" si="61"/>
        <v>90.5</v>
      </c>
      <c r="AY130" s="23">
        <f t="shared" si="62"/>
        <v>0.5</v>
      </c>
      <c r="AZ130" s="23">
        <f t="shared" si="63"/>
        <v>0.57422728159126368</v>
      </c>
      <c r="BA130" s="23">
        <f t="shared" si="64"/>
        <v>5.1680455343213731</v>
      </c>
      <c r="BB130" s="23">
        <f t="shared" si="65"/>
        <v>12.920113835803432</v>
      </c>
      <c r="BC130" s="23">
        <f t="shared" si="66"/>
        <v>0</v>
      </c>
      <c r="BD130" s="23">
        <f t="shared" si="67"/>
        <v>12.920113835803432</v>
      </c>
    </row>
    <row r="131" spans="1:56">
      <c r="A131" s="1" t="s">
        <v>20</v>
      </c>
      <c r="B131" s="1" t="s">
        <v>32</v>
      </c>
      <c r="C131" s="1" t="s">
        <v>22</v>
      </c>
      <c r="D131" s="1" t="s">
        <v>33</v>
      </c>
      <c r="E131" s="51" t="s">
        <v>107</v>
      </c>
      <c r="F131" s="51" t="s">
        <v>108</v>
      </c>
      <c r="G131" s="51" t="s">
        <v>109</v>
      </c>
      <c r="H131" s="51" t="s">
        <v>281</v>
      </c>
      <c r="I131" s="1" t="s">
        <v>147</v>
      </c>
      <c r="J131" s="51" t="s">
        <v>112</v>
      </c>
      <c r="K131" s="51" t="s">
        <v>112</v>
      </c>
      <c r="L131" s="51" t="s">
        <v>112</v>
      </c>
      <c r="M131" s="1">
        <v>1939693</v>
      </c>
      <c r="N131" s="50" t="s">
        <v>419</v>
      </c>
      <c r="O131" s="55">
        <f t="shared" si="72"/>
        <v>41393</v>
      </c>
      <c r="P131" s="55">
        <f t="shared" si="73"/>
        <v>42674</v>
      </c>
      <c r="Q131" s="51">
        <v>3407</v>
      </c>
      <c r="S131" s="51">
        <v>2</v>
      </c>
      <c r="U131" s="1">
        <f t="shared" si="38"/>
        <v>1282</v>
      </c>
      <c r="V131" s="31">
        <f t="shared" si="39"/>
        <v>2.6575663026521061</v>
      </c>
      <c r="W131" s="31">
        <f t="shared" si="40"/>
        <v>970.01170046801872</v>
      </c>
      <c r="X131" s="31">
        <f t="shared" si="41"/>
        <v>1.2125146255850234</v>
      </c>
      <c r="AA131" s="32">
        <f t="shared" si="42"/>
        <v>42552</v>
      </c>
      <c r="AB131" s="32">
        <f t="shared" si="43"/>
        <v>42735</v>
      </c>
      <c r="AC131" s="50">
        <v>22</v>
      </c>
      <c r="AD131" s="1">
        <f t="shared" si="44"/>
        <v>0</v>
      </c>
      <c r="AE131" s="1">
        <f t="shared" si="45"/>
        <v>0</v>
      </c>
      <c r="AF131" s="1">
        <f t="shared" si="46"/>
        <v>123</v>
      </c>
      <c r="AG131" s="1">
        <f t="shared" si="47"/>
        <v>0</v>
      </c>
      <c r="AH131" s="1">
        <f t="shared" si="48"/>
        <v>0</v>
      </c>
      <c r="AI131" s="23">
        <f t="shared" si="49"/>
        <v>0.66847826086956519</v>
      </c>
      <c r="AJ131" s="23">
        <f t="shared" si="50"/>
        <v>0.81053966818998846</v>
      </c>
      <c r="AK131" s="23">
        <f t="shared" si="51"/>
        <v>17.831872700179748</v>
      </c>
      <c r="AL131" s="23">
        <f t="shared" si="52"/>
        <v>35.663745400359495</v>
      </c>
      <c r="AM131" s="23">
        <f t="shared" si="53"/>
        <v>0</v>
      </c>
      <c r="AN131" s="23">
        <f t="shared" si="54"/>
        <v>35.663745400359495</v>
      </c>
      <c r="AQ131" s="32">
        <f t="shared" si="55"/>
        <v>42736</v>
      </c>
      <c r="AR131" s="32">
        <f t="shared" si="56"/>
        <v>42916</v>
      </c>
      <c r="AS131" s="50">
        <v>18</v>
      </c>
      <c r="AT131" s="1">
        <f t="shared" si="57"/>
        <v>0</v>
      </c>
      <c r="AU131" s="1">
        <f t="shared" si="58"/>
        <v>0</v>
      </c>
      <c r="AV131" s="1">
        <f t="shared" si="59"/>
        <v>0</v>
      </c>
      <c r="AW131" s="1">
        <f t="shared" si="60"/>
        <v>0</v>
      </c>
      <c r="AX131" s="1">
        <f t="shared" si="61"/>
        <v>90.5</v>
      </c>
      <c r="AY131" s="23">
        <f t="shared" si="62"/>
        <v>0.5</v>
      </c>
      <c r="AZ131" s="23">
        <f t="shared" si="63"/>
        <v>0.60625731279251172</v>
      </c>
      <c r="BA131" s="23">
        <f t="shared" si="64"/>
        <v>5.456315815132605</v>
      </c>
      <c r="BB131" s="23">
        <f t="shared" si="65"/>
        <v>10.91263163026521</v>
      </c>
      <c r="BC131" s="23">
        <f t="shared" si="66"/>
        <v>0</v>
      </c>
      <c r="BD131" s="23">
        <f t="shared" si="67"/>
        <v>10.91263163026521</v>
      </c>
    </row>
    <row r="132" spans="1:56">
      <c r="A132" s="1" t="s">
        <v>20</v>
      </c>
      <c r="B132" s="1" t="s">
        <v>32</v>
      </c>
      <c r="C132" s="1" t="s">
        <v>22</v>
      </c>
      <c r="D132" s="1" t="s">
        <v>33</v>
      </c>
      <c r="E132" s="51" t="s">
        <v>107</v>
      </c>
      <c r="F132" s="51" t="s">
        <v>108</v>
      </c>
      <c r="G132" s="51" t="s">
        <v>109</v>
      </c>
      <c r="H132" s="51" t="s">
        <v>213</v>
      </c>
      <c r="I132" s="1" t="s">
        <v>214</v>
      </c>
      <c r="J132" s="51" t="s">
        <v>112</v>
      </c>
      <c r="K132" s="51" t="s">
        <v>112</v>
      </c>
      <c r="L132" s="51" t="s">
        <v>112</v>
      </c>
      <c r="M132" s="1">
        <v>1939694</v>
      </c>
      <c r="N132" s="50" t="s">
        <v>420</v>
      </c>
      <c r="O132" s="55">
        <f t="shared" si="72"/>
        <v>41393</v>
      </c>
      <c r="P132" s="55">
        <f t="shared" si="73"/>
        <v>42674</v>
      </c>
      <c r="Q132" s="51">
        <v>3102</v>
      </c>
      <c r="S132" s="51">
        <v>1.5</v>
      </c>
      <c r="U132" s="1">
        <f t="shared" ref="U132:U195" si="74">P132-O132+1</f>
        <v>1282</v>
      </c>
      <c r="V132" s="31">
        <f t="shared" ref="V132:V195" si="75">Q132/U132</f>
        <v>2.4196567862714509</v>
      </c>
      <c r="W132" s="31">
        <f t="shared" ref="W132:W195" si="76">IF(U132&gt;365,V132*365,Q132)</f>
        <v>883.17472698907955</v>
      </c>
      <c r="X132" s="31">
        <f t="shared" ref="X132:X195" si="77">IF(U132&gt;365,W132/800,Q132/800)</f>
        <v>1.1039684087363495</v>
      </c>
      <c r="AA132" s="32">
        <f t="shared" ref="AA132:AA195" si="78">DATE(2016,7,1)</f>
        <v>42552</v>
      </c>
      <c r="AB132" s="32">
        <f t="shared" ref="AB132:AB195" si="79">DATE(2016,12,31)</f>
        <v>42735</v>
      </c>
      <c r="AC132" s="50">
        <v>20</v>
      </c>
      <c r="AD132" s="1">
        <f t="shared" ref="AD132:AD195" si="80">IF(AND(O132&lt;AA132,P132&gt;AB132),AB132-AA132+1,0)</f>
        <v>0</v>
      </c>
      <c r="AE132" s="1">
        <f t="shared" ref="AE132:AE195" si="81">IF(AND(O132&gt;=AA132,P132&gt;AB132,O132&lt;AB132),AB132-O132+1,0)</f>
        <v>0</v>
      </c>
      <c r="AF132" s="1">
        <f t="shared" ref="AF132:AF195" si="82">IF(AND(O132&lt;AA132,P132&lt;=AB132,P132&gt;=AA132),P132-AA132+1,0)</f>
        <v>123</v>
      </c>
      <c r="AG132" s="1">
        <f t="shared" ref="AG132:AG195" si="83">IF(AND(O132&gt;=AA132,P132&lt;=AB132),P132-O132+1,0)</f>
        <v>0</v>
      </c>
      <c r="AH132" s="1">
        <f t="shared" ref="AH132:AH195" si="84">IF(AND(O132&lt;AA132,P132&lt;AA132),(AB132-AA132+1)/2,0)</f>
        <v>0</v>
      </c>
      <c r="AI132" s="23">
        <f t="shared" ref="AI132:AI195" si="85">SUM(AD132:AH132)/(AB132-AA132+1)</f>
        <v>0.66847826086956519</v>
      </c>
      <c r="AJ132" s="23">
        <f t="shared" ref="AJ132:AJ195" si="86">X132*AI132</f>
        <v>0.73797888192701622</v>
      </c>
      <c r="AK132" s="23">
        <f t="shared" ref="AK132:AK195" si="87">IF(AH132=0,AJ132*AC132,IF(AA132-P132&gt;1095,0,AJ132*(AC132/2)))</f>
        <v>14.759577638540325</v>
      </c>
      <c r="AL132" s="23">
        <f t="shared" ref="AL132:AL195" si="88">AK132*S132</f>
        <v>22.139366457810489</v>
      </c>
      <c r="AM132" s="23">
        <f t="shared" ref="AM132:AM195" si="89">IF(J132="SIM",AL132*50%,0)</f>
        <v>0</v>
      </c>
      <c r="AN132" s="23">
        <f t="shared" ref="AN132:AN195" si="90">AL132+AM132</f>
        <v>22.139366457810489</v>
      </c>
      <c r="AQ132" s="32">
        <f t="shared" ref="AQ132:AQ195" si="91">DATE(2017,1,1)</f>
        <v>42736</v>
      </c>
      <c r="AR132" s="32">
        <f t="shared" ref="AR132:AR195" si="92">DATE(2017,6,30)</f>
        <v>42916</v>
      </c>
      <c r="AS132" s="50">
        <v>19</v>
      </c>
      <c r="AT132" s="1">
        <f t="shared" ref="AT132:AT195" si="93">IF(AND(O132&lt;AQ132,P132&gt;AR132),AR132-AQ132+1,0)</f>
        <v>0</v>
      </c>
      <c r="AU132" s="1">
        <f t="shared" ref="AU132:AU195" si="94">IF(AND(O132&gt;=AQ132,P132&gt;AR132,O132&lt;AR132),AR132-O132+1,0)</f>
        <v>0</v>
      </c>
      <c r="AV132" s="1">
        <f t="shared" ref="AV132:AV195" si="95">IF(AND(O132&lt;AQ132,P132&lt;=AR132,P132&gt;=AQ132),P132-AQ132+1,0)</f>
        <v>0</v>
      </c>
      <c r="AW132" s="1">
        <f t="shared" ref="AW132:AW195" si="96">IF(AND(O132&gt;=AQ132,P132&lt;=AR132),P132-O132+1,0)</f>
        <v>0</v>
      </c>
      <c r="AX132" s="1">
        <f t="shared" ref="AX132:AX195" si="97">IF(AND(O132&lt;AQ132,P132&lt;AQ132),(AR132-AQ132+1)/2,0)</f>
        <v>90.5</v>
      </c>
      <c r="AY132" s="23">
        <f t="shared" ref="AY132:AY195" si="98">SUM(AT132:AX132)/(AR132-AQ132+1)</f>
        <v>0.5</v>
      </c>
      <c r="AZ132" s="23">
        <f t="shared" ref="AZ132:AZ195" si="99">X132*AY132</f>
        <v>0.55198420436817475</v>
      </c>
      <c r="BA132" s="23">
        <f t="shared" ref="BA132:BA195" si="100">IF(AX132=0,AZ132*AS132,IF(AQ132-P132&gt;1095,0,AZ132*(AS132/2)))</f>
        <v>5.2438499414976603</v>
      </c>
      <c r="BB132" s="23">
        <f t="shared" ref="BB132:BB195" si="101">BA132*S132</f>
        <v>7.8657749122464899</v>
      </c>
      <c r="BC132" s="23">
        <f t="shared" ref="BC132:BC195" si="102">IF(J132="SIM",BB132*50%,0)</f>
        <v>0</v>
      </c>
      <c r="BD132" s="23">
        <f t="shared" ref="BD132:BD195" si="103">BB132+BC132</f>
        <v>7.8657749122464899</v>
      </c>
    </row>
    <row r="133" spans="1:56">
      <c r="A133" s="1" t="s">
        <v>20</v>
      </c>
      <c r="B133" s="1" t="s">
        <v>32</v>
      </c>
      <c r="C133" s="1" t="s">
        <v>22</v>
      </c>
      <c r="D133" s="1" t="s">
        <v>33</v>
      </c>
      <c r="E133" s="51" t="s">
        <v>107</v>
      </c>
      <c r="F133" s="51" t="s">
        <v>108</v>
      </c>
      <c r="G133" s="51" t="s">
        <v>109</v>
      </c>
      <c r="H133" s="51" t="s">
        <v>277</v>
      </c>
      <c r="I133" s="1" t="s">
        <v>278</v>
      </c>
      <c r="J133" s="51" t="s">
        <v>112</v>
      </c>
      <c r="K133" s="51" t="s">
        <v>112</v>
      </c>
      <c r="L133" s="51" t="s">
        <v>112</v>
      </c>
      <c r="M133" s="1">
        <v>1939695</v>
      </c>
      <c r="N133" s="50" t="s">
        <v>421</v>
      </c>
      <c r="O133" s="55">
        <f t="shared" si="72"/>
        <v>41393</v>
      </c>
      <c r="P133" s="55">
        <f t="shared" si="73"/>
        <v>42674</v>
      </c>
      <c r="Q133" s="51">
        <v>3102</v>
      </c>
      <c r="S133" s="51">
        <v>1.5</v>
      </c>
      <c r="U133" s="1">
        <f t="shared" si="74"/>
        <v>1282</v>
      </c>
      <c r="V133" s="31">
        <f t="shared" si="75"/>
        <v>2.4196567862714509</v>
      </c>
      <c r="W133" s="31">
        <f t="shared" si="76"/>
        <v>883.17472698907955</v>
      </c>
      <c r="X133" s="31">
        <f t="shared" si="77"/>
        <v>1.1039684087363495</v>
      </c>
      <c r="AA133" s="32">
        <f t="shared" si="78"/>
        <v>42552</v>
      </c>
      <c r="AB133" s="32">
        <f t="shared" si="79"/>
        <v>42735</v>
      </c>
      <c r="AC133" s="50">
        <v>17</v>
      </c>
      <c r="AD133" s="1">
        <f t="shared" si="80"/>
        <v>0</v>
      </c>
      <c r="AE133" s="1">
        <f t="shared" si="81"/>
        <v>0</v>
      </c>
      <c r="AF133" s="1">
        <f t="shared" si="82"/>
        <v>123</v>
      </c>
      <c r="AG133" s="1">
        <f t="shared" si="83"/>
        <v>0</v>
      </c>
      <c r="AH133" s="1">
        <f t="shared" si="84"/>
        <v>0</v>
      </c>
      <c r="AI133" s="23">
        <f t="shared" si="85"/>
        <v>0.66847826086956519</v>
      </c>
      <c r="AJ133" s="23">
        <f t="shared" si="86"/>
        <v>0.73797888192701622</v>
      </c>
      <c r="AK133" s="23">
        <f t="shared" si="87"/>
        <v>12.545640992759276</v>
      </c>
      <c r="AL133" s="23">
        <f t="shared" si="88"/>
        <v>18.818461489138915</v>
      </c>
      <c r="AM133" s="23">
        <f t="shared" si="89"/>
        <v>0</v>
      </c>
      <c r="AN133" s="23">
        <f t="shared" si="90"/>
        <v>18.818461489138915</v>
      </c>
      <c r="AQ133" s="32">
        <f t="shared" si="91"/>
        <v>42736</v>
      </c>
      <c r="AR133" s="32">
        <f t="shared" si="92"/>
        <v>42916</v>
      </c>
      <c r="AS133" s="50">
        <v>16</v>
      </c>
      <c r="AT133" s="1">
        <f t="shared" si="93"/>
        <v>0</v>
      </c>
      <c r="AU133" s="1">
        <f t="shared" si="94"/>
        <v>0</v>
      </c>
      <c r="AV133" s="1">
        <f t="shared" si="95"/>
        <v>0</v>
      </c>
      <c r="AW133" s="1">
        <f t="shared" si="96"/>
        <v>0</v>
      </c>
      <c r="AX133" s="1">
        <f t="shared" si="97"/>
        <v>90.5</v>
      </c>
      <c r="AY133" s="23">
        <f t="shared" si="98"/>
        <v>0.5</v>
      </c>
      <c r="AZ133" s="23">
        <f t="shared" si="99"/>
        <v>0.55198420436817475</v>
      </c>
      <c r="BA133" s="23">
        <f t="shared" si="100"/>
        <v>4.415873634945398</v>
      </c>
      <c r="BB133" s="23">
        <f t="shared" si="101"/>
        <v>6.6238104524180965</v>
      </c>
      <c r="BC133" s="23">
        <f t="shared" si="102"/>
        <v>0</v>
      </c>
      <c r="BD133" s="23">
        <f t="shared" si="103"/>
        <v>6.6238104524180965</v>
      </c>
    </row>
    <row r="134" spans="1:56">
      <c r="A134" s="1" t="s">
        <v>20</v>
      </c>
      <c r="B134" s="1" t="s">
        <v>32</v>
      </c>
      <c r="C134" s="1" t="s">
        <v>22</v>
      </c>
      <c r="D134" s="1" t="s">
        <v>33</v>
      </c>
      <c r="E134" s="51" t="s">
        <v>107</v>
      </c>
      <c r="F134" s="51" t="s">
        <v>108</v>
      </c>
      <c r="G134" s="51" t="s">
        <v>109</v>
      </c>
      <c r="H134" s="51" t="s">
        <v>110</v>
      </c>
      <c r="I134" s="1" t="s">
        <v>111</v>
      </c>
      <c r="J134" s="51" t="s">
        <v>112</v>
      </c>
      <c r="K134" s="51" t="s">
        <v>112</v>
      </c>
      <c r="L134" s="51" t="s">
        <v>112</v>
      </c>
      <c r="M134" s="1">
        <v>1939696</v>
      </c>
      <c r="N134" s="50" t="s">
        <v>422</v>
      </c>
      <c r="O134" s="55">
        <f t="shared" si="72"/>
        <v>41393</v>
      </c>
      <c r="P134" s="55">
        <f t="shared" si="73"/>
        <v>42674</v>
      </c>
      <c r="Q134" s="51">
        <v>2968</v>
      </c>
      <c r="S134" s="51">
        <v>2</v>
      </c>
      <c r="U134" s="1">
        <f t="shared" si="74"/>
        <v>1282</v>
      </c>
      <c r="V134" s="31">
        <f t="shared" si="75"/>
        <v>2.3151326053042123</v>
      </c>
      <c r="W134" s="31">
        <f t="shared" si="76"/>
        <v>845.02340093603743</v>
      </c>
      <c r="X134" s="31">
        <f t="shared" si="77"/>
        <v>1.0562792511700467</v>
      </c>
      <c r="AA134" s="32">
        <f t="shared" si="78"/>
        <v>42552</v>
      </c>
      <c r="AB134" s="32">
        <f t="shared" si="79"/>
        <v>42735</v>
      </c>
      <c r="AC134" s="50">
        <v>15</v>
      </c>
      <c r="AD134" s="1">
        <f t="shared" si="80"/>
        <v>0</v>
      </c>
      <c r="AE134" s="1">
        <f t="shared" si="81"/>
        <v>0</v>
      </c>
      <c r="AF134" s="1">
        <f t="shared" si="82"/>
        <v>123</v>
      </c>
      <c r="AG134" s="1">
        <f t="shared" si="83"/>
        <v>0</v>
      </c>
      <c r="AH134" s="1">
        <f t="shared" si="84"/>
        <v>0</v>
      </c>
      <c r="AI134" s="23">
        <f t="shared" si="85"/>
        <v>0.66847826086956519</v>
      </c>
      <c r="AJ134" s="23">
        <f t="shared" si="86"/>
        <v>0.70609971681475947</v>
      </c>
      <c r="AK134" s="23">
        <f t="shared" si="87"/>
        <v>10.591495752221393</v>
      </c>
      <c r="AL134" s="23">
        <f t="shared" si="88"/>
        <v>21.182991504442786</v>
      </c>
      <c r="AM134" s="23">
        <f t="shared" si="89"/>
        <v>0</v>
      </c>
      <c r="AN134" s="23">
        <f t="shared" si="90"/>
        <v>21.182991504442786</v>
      </c>
      <c r="AQ134" s="32">
        <f t="shared" si="91"/>
        <v>42736</v>
      </c>
      <c r="AR134" s="32">
        <f t="shared" si="92"/>
        <v>42916</v>
      </c>
      <c r="AS134" s="50">
        <v>15</v>
      </c>
      <c r="AT134" s="1">
        <f t="shared" si="93"/>
        <v>0</v>
      </c>
      <c r="AU134" s="1">
        <f t="shared" si="94"/>
        <v>0</v>
      </c>
      <c r="AV134" s="1">
        <f t="shared" si="95"/>
        <v>0</v>
      </c>
      <c r="AW134" s="1">
        <f t="shared" si="96"/>
        <v>0</v>
      </c>
      <c r="AX134" s="1">
        <f t="shared" si="97"/>
        <v>90.5</v>
      </c>
      <c r="AY134" s="23">
        <f t="shared" si="98"/>
        <v>0.5</v>
      </c>
      <c r="AZ134" s="23">
        <f t="shared" si="99"/>
        <v>0.52813962558502336</v>
      </c>
      <c r="BA134" s="23">
        <f t="shared" si="100"/>
        <v>3.9610471918876753</v>
      </c>
      <c r="BB134" s="23">
        <f t="shared" si="101"/>
        <v>7.9220943837753506</v>
      </c>
      <c r="BC134" s="23">
        <f t="shared" si="102"/>
        <v>0</v>
      </c>
      <c r="BD134" s="23">
        <f t="shared" si="103"/>
        <v>7.9220943837753506</v>
      </c>
    </row>
    <row r="135" spans="1:56">
      <c r="A135" s="1" t="s">
        <v>20</v>
      </c>
      <c r="B135" s="1" t="s">
        <v>32</v>
      </c>
      <c r="C135" s="1" t="s">
        <v>22</v>
      </c>
      <c r="D135" s="1" t="s">
        <v>33</v>
      </c>
      <c r="E135" s="51" t="s">
        <v>107</v>
      </c>
      <c r="F135" s="51" t="s">
        <v>294</v>
      </c>
      <c r="G135" s="51" t="s">
        <v>109</v>
      </c>
      <c r="H135" s="51" t="s">
        <v>297</v>
      </c>
      <c r="I135" s="1" t="s">
        <v>147</v>
      </c>
      <c r="J135" s="51" t="s">
        <v>112</v>
      </c>
      <c r="K135" s="51" t="s">
        <v>112</v>
      </c>
      <c r="L135" s="51" t="s">
        <v>112</v>
      </c>
      <c r="M135" s="1">
        <v>1939697</v>
      </c>
      <c r="N135" s="50" t="s">
        <v>423</v>
      </c>
      <c r="O135" s="55">
        <f t="shared" si="72"/>
        <v>41393</v>
      </c>
      <c r="P135" s="55">
        <f>DATE(2016,4,30)</f>
        <v>42490</v>
      </c>
      <c r="Q135" s="51">
        <v>2260</v>
      </c>
      <c r="S135" s="51">
        <v>2</v>
      </c>
      <c r="U135" s="1">
        <f t="shared" si="74"/>
        <v>1098</v>
      </c>
      <c r="V135" s="31">
        <f t="shared" si="75"/>
        <v>2.0582877959927139</v>
      </c>
      <c r="W135" s="31">
        <f t="shared" si="76"/>
        <v>751.27504553734059</v>
      </c>
      <c r="X135" s="31">
        <f t="shared" si="77"/>
        <v>0.93909380692167577</v>
      </c>
      <c r="AA135" s="32">
        <f t="shared" si="78"/>
        <v>42552</v>
      </c>
      <c r="AB135" s="32">
        <f t="shared" si="79"/>
        <v>42735</v>
      </c>
      <c r="AC135" s="50">
        <v>15</v>
      </c>
      <c r="AD135" s="1">
        <f t="shared" si="80"/>
        <v>0</v>
      </c>
      <c r="AE135" s="1">
        <f t="shared" si="81"/>
        <v>0</v>
      </c>
      <c r="AF135" s="1">
        <f t="shared" si="82"/>
        <v>0</v>
      </c>
      <c r="AG135" s="1">
        <f t="shared" si="83"/>
        <v>0</v>
      </c>
      <c r="AH135" s="1">
        <f t="shared" si="84"/>
        <v>92</v>
      </c>
      <c r="AI135" s="23">
        <f t="shared" si="85"/>
        <v>0.5</v>
      </c>
      <c r="AJ135" s="23">
        <f t="shared" si="86"/>
        <v>0.46954690346083788</v>
      </c>
      <c r="AK135" s="23">
        <f t="shared" si="87"/>
        <v>3.5216017759562841</v>
      </c>
      <c r="AL135" s="23">
        <f t="shared" si="88"/>
        <v>7.0432035519125682</v>
      </c>
      <c r="AM135" s="23">
        <f t="shared" si="89"/>
        <v>0</v>
      </c>
      <c r="AN135" s="23">
        <f t="shared" si="90"/>
        <v>7.0432035519125682</v>
      </c>
      <c r="AQ135" s="32">
        <f t="shared" si="91"/>
        <v>42736</v>
      </c>
      <c r="AR135" s="32">
        <f t="shared" si="92"/>
        <v>42916</v>
      </c>
      <c r="AS135" s="50">
        <v>7</v>
      </c>
      <c r="AT135" s="1">
        <f t="shared" si="93"/>
        <v>0</v>
      </c>
      <c r="AU135" s="1">
        <f t="shared" si="94"/>
        <v>0</v>
      </c>
      <c r="AV135" s="1">
        <f t="shared" si="95"/>
        <v>0</v>
      </c>
      <c r="AW135" s="1">
        <f t="shared" si="96"/>
        <v>0</v>
      </c>
      <c r="AX135" s="1">
        <f t="shared" si="97"/>
        <v>90.5</v>
      </c>
      <c r="AY135" s="23">
        <f t="shared" si="98"/>
        <v>0.5</v>
      </c>
      <c r="AZ135" s="23">
        <f t="shared" si="99"/>
        <v>0.46954690346083788</v>
      </c>
      <c r="BA135" s="23">
        <f t="shared" si="100"/>
        <v>1.6434141621129326</v>
      </c>
      <c r="BB135" s="23">
        <f t="shared" si="101"/>
        <v>3.2868283242258651</v>
      </c>
      <c r="BC135" s="23">
        <f t="shared" si="102"/>
        <v>0</v>
      </c>
      <c r="BD135" s="23">
        <f t="shared" si="103"/>
        <v>3.2868283242258651</v>
      </c>
    </row>
    <row r="136" spans="1:56">
      <c r="A136" s="1" t="s">
        <v>20</v>
      </c>
      <c r="B136" s="1" t="s">
        <v>32</v>
      </c>
      <c r="C136" s="1" t="s">
        <v>22</v>
      </c>
      <c r="D136" s="1" t="s">
        <v>33</v>
      </c>
      <c r="E136" s="51" t="s">
        <v>107</v>
      </c>
      <c r="F136" s="51" t="s">
        <v>294</v>
      </c>
      <c r="G136" s="51" t="s">
        <v>109</v>
      </c>
      <c r="H136" s="51" t="s">
        <v>295</v>
      </c>
      <c r="I136" s="1" t="s">
        <v>111</v>
      </c>
      <c r="J136" s="51" t="s">
        <v>112</v>
      </c>
      <c r="K136" s="51" t="s">
        <v>112</v>
      </c>
      <c r="L136" s="51" t="s">
        <v>112</v>
      </c>
      <c r="M136" s="1">
        <v>1939698</v>
      </c>
      <c r="N136" s="50" t="s">
        <v>424</v>
      </c>
      <c r="O136" s="55">
        <f t="shared" si="72"/>
        <v>41393</v>
      </c>
      <c r="P136" s="55">
        <f>DATE(2016,4,30)</f>
        <v>42490</v>
      </c>
      <c r="Q136" s="51">
        <v>2840</v>
      </c>
      <c r="S136" s="51">
        <v>2.5</v>
      </c>
      <c r="U136" s="1">
        <f t="shared" si="74"/>
        <v>1098</v>
      </c>
      <c r="V136" s="31">
        <f t="shared" si="75"/>
        <v>2.5865209471766848</v>
      </c>
      <c r="W136" s="31">
        <f t="shared" si="76"/>
        <v>944.08014571948991</v>
      </c>
      <c r="X136" s="31">
        <f t="shared" si="77"/>
        <v>1.1801001821493624</v>
      </c>
      <c r="AA136" s="32">
        <f t="shared" si="78"/>
        <v>42552</v>
      </c>
      <c r="AB136" s="32">
        <f t="shared" si="79"/>
        <v>42735</v>
      </c>
      <c r="AC136" s="50">
        <v>18</v>
      </c>
      <c r="AD136" s="1">
        <f t="shared" si="80"/>
        <v>0</v>
      </c>
      <c r="AE136" s="1">
        <f t="shared" si="81"/>
        <v>0</v>
      </c>
      <c r="AF136" s="1">
        <f t="shared" si="82"/>
        <v>0</v>
      </c>
      <c r="AG136" s="1">
        <f t="shared" si="83"/>
        <v>0</v>
      </c>
      <c r="AH136" s="1">
        <f t="shared" si="84"/>
        <v>92</v>
      </c>
      <c r="AI136" s="23">
        <f t="shared" si="85"/>
        <v>0.5</v>
      </c>
      <c r="AJ136" s="23">
        <f t="shared" si="86"/>
        <v>0.5900500910746812</v>
      </c>
      <c r="AK136" s="23">
        <f t="shared" si="87"/>
        <v>5.3104508196721305</v>
      </c>
      <c r="AL136" s="23">
        <f t="shared" si="88"/>
        <v>13.276127049180326</v>
      </c>
      <c r="AM136" s="23">
        <f t="shared" si="89"/>
        <v>0</v>
      </c>
      <c r="AN136" s="23">
        <f t="shared" si="90"/>
        <v>13.276127049180326</v>
      </c>
      <c r="AQ136" s="32">
        <f t="shared" si="91"/>
        <v>42736</v>
      </c>
      <c r="AR136" s="32">
        <f t="shared" si="92"/>
        <v>42916</v>
      </c>
      <c r="AS136" s="50">
        <v>15</v>
      </c>
      <c r="AT136" s="1">
        <f t="shared" si="93"/>
        <v>0</v>
      </c>
      <c r="AU136" s="1">
        <f t="shared" si="94"/>
        <v>0</v>
      </c>
      <c r="AV136" s="1">
        <f t="shared" si="95"/>
        <v>0</v>
      </c>
      <c r="AW136" s="1">
        <f t="shared" si="96"/>
        <v>0</v>
      </c>
      <c r="AX136" s="1">
        <f t="shared" si="97"/>
        <v>90.5</v>
      </c>
      <c r="AY136" s="23">
        <f t="shared" si="98"/>
        <v>0.5</v>
      </c>
      <c r="AZ136" s="23">
        <f t="shared" si="99"/>
        <v>0.5900500910746812</v>
      </c>
      <c r="BA136" s="23">
        <f t="shared" si="100"/>
        <v>4.4253756830601088</v>
      </c>
      <c r="BB136" s="23">
        <f t="shared" si="101"/>
        <v>11.063439207650273</v>
      </c>
      <c r="BC136" s="23">
        <f t="shared" si="102"/>
        <v>0</v>
      </c>
      <c r="BD136" s="23">
        <f t="shared" si="103"/>
        <v>11.063439207650273</v>
      </c>
    </row>
    <row r="137" spans="1:56">
      <c r="A137" s="1" t="s">
        <v>20</v>
      </c>
      <c r="B137" s="1" t="s">
        <v>32</v>
      </c>
      <c r="C137" s="1" t="s">
        <v>22</v>
      </c>
      <c r="D137" s="1" t="s">
        <v>33</v>
      </c>
      <c r="E137" s="51" t="s">
        <v>107</v>
      </c>
      <c r="F137" s="51" t="s">
        <v>294</v>
      </c>
      <c r="G137" s="51" t="s">
        <v>109</v>
      </c>
      <c r="H137" s="51" t="s">
        <v>301</v>
      </c>
      <c r="I137" s="1" t="s">
        <v>111</v>
      </c>
      <c r="J137" s="51" t="s">
        <v>112</v>
      </c>
      <c r="K137" s="51" t="s">
        <v>112</v>
      </c>
      <c r="L137" s="51" t="s">
        <v>112</v>
      </c>
      <c r="M137" s="1">
        <v>1939700</v>
      </c>
      <c r="N137" s="50" t="s">
        <v>425</v>
      </c>
      <c r="O137" s="55">
        <f t="shared" si="72"/>
        <v>41393</v>
      </c>
      <c r="P137" s="55">
        <f>DATE(2016,4,30)</f>
        <v>42490</v>
      </c>
      <c r="Q137" s="51">
        <v>2440</v>
      </c>
      <c r="S137" s="51">
        <v>2</v>
      </c>
      <c r="U137" s="1">
        <f t="shared" si="74"/>
        <v>1098</v>
      </c>
      <c r="V137" s="31">
        <f t="shared" si="75"/>
        <v>2.2222222222222223</v>
      </c>
      <c r="W137" s="31">
        <f t="shared" si="76"/>
        <v>811.1111111111112</v>
      </c>
      <c r="X137" s="31">
        <f t="shared" si="77"/>
        <v>1.0138888888888891</v>
      </c>
      <c r="AA137" s="32">
        <f t="shared" si="78"/>
        <v>42552</v>
      </c>
      <c r="AB137" s="32">
        <f t="shared" si="79"/>
        <v>42735</v>
      </c>
      <c r="AC137" s="50">
        <v>9</v>
      </c>
      <c r="AD137" s="1">
        <f t="shared" si="80"/>
        <v>0</v>
      </c>
      <c r="AE137" s="1">
        <f t="shared" si="81"/>
        <v>0</v>
      </c>
      <c r="AF137" s="1">
        <f t="shared" si="82"/>
        <v>0</v>
      </c>
      <c r="AG137" s="1">
        <f t="shared" si="83"/>
        <v>0</v>
      </c>
      <c r="AH137" s="1">
        <f t="shared" si="84"/>
        <v>92</v>
      </c>
      <c r="AI137" s="23">
        <f t="shared" si="85"/>
        <v>0.5</v>
      </c>
      <c r="AJ137" s="23">
        <f t="shared" si="86"/>
        <v>0.50694444444444453</v>
      </c>
      <c r="AK137" s="23">
        <f t="shared" si="87"/>
        <v>2.2812500000000004</v>
      </c>
      <c r="AL137" s="23">
        <f t="shared" si="88"/>
        <v>4.5625000000000009</v>
      </c>
      <c r="AM137" s="23">
        <f t="shared" si="89"/>
        <v>0</v>
      </c>
      <c r="AN137" s="23">
        <f t="shared" si="90"/>
        <v>4.5625000000000009</v>
      </c>
      <c r="AQ137" s="32">
        <f t="shared" si="91"/>
        <v>42736</v>
      </c>
      <c r="AR137" s="32">
        <f t="shared" si="92"/>
        <v>42916</v>
      </c>
      <c r="AS137" s="50">
        <v>10</v>
      </c>
      <c r="AT137" s="1">
        <f t="shared" si="93"/>
        <v>0</v>
      </c>
      <c r="AU137" s="1">
        <f t="shared" si="94"/>
        <v>0</v>
      </c>
      <c r="AV137" s="1">
        <f t="shared" si="95"/>
        <v>0</v>
      </c>
      <c r="AW137" s="1">
        <f t="shared" si="96"/>
        <v>0</v>
      </c>
      <c r="AX137" s="1">
        <f t="shared" si="97"/>
        <v>90.5</v>
      </c>
      <c r="AY137" s="23">
        <f t="shared" si="98"/>
        <v>0.5</v>
      </c>
      <c r="AZ137" s="23">
        <f t="shared" si="99"/>
        <v>0.50694444444444453</v>
      </c>
      <c r="BA137" s="23">
        <f t="shared" si="100"/>
        <v>2.5347222222222228</v>
      </c>
      <c r="BB137" s="23">
        <f t="shared" si="101"/>
        <v>5.0694444444444455</v>
      </c>
      <c r="BC137" s="23">
        <f t="shared" si="102"/>
        <v>0</v>
      </c>
      <c r="BD137" s="23">
        <f t="shared" si="103"/>
        <v>5.0694444444444455</v>
      </c>
    </row>
    <row r="138" spans="1:56">
      <c r="A138" s="1" t="s">
        <v>20</v>
      </c>
      <c r="B138" s="1" t="s">
        <v>32</v>
      </c>
      <c r="C138" s="1" t="s">
        <v>22</v>
      </c>
      <c r="D138" s="1" t="s">
        <v>33</v>
      </c>
      <c r="E138" s="51" t="s">
        <v>107</v>
      </c>
      <c r="F138" s="51" t="s">
        <v>294</v>
      </c>
      <c r="G138" s="51" t="s">
        <v>109</v>
      </c>
      <c r="H138" s="51" t="s">
        <v>301</v>
      </c>
      <c r="I138" s="1" t="s">
        <v>111</v>
      </c>
      <c r="J138" s="51" t="s">
        <v>112</v>
      </c>
      <c r="K138" s="51" t="s">
        <v>112</v>
      </c>
      <c r="L138" s="51" t="s">
        <v>112</v>
      </c>
      <c r="M138" s="1">
        <v>1939701</v>
      </c>
      <c r="N138" s="50" t="s">
        <v>426</v>
      </c>
      <c r="O138" s="55">
        <f>DATE(2013,10,16)</f>
        <v>41563</v>
      </c>
      <c r="P138" s="55">
        <f>DATE(2016,9,30)</f>
        <v>42643</v>
      </c>
      <c r="Q138" s="51">
        <v>2440</v>
      </c>
      <c r="S138" s="51">
        <v>2</v>
      </c>
      <c r="U138" s="1">
        <f t="shared" si="74"/>
        <v>1081</v>
      </c>
      <c r="V138" s="31">
        <f t="shared" si="75"/>
        <v>2.2571692876965774</v>
      </c>
      <c r="W138" s="31">
        <f t="shared" si="76"/>
        <v>823.86679000925074</v>
      </c>
      <c r="X138" s="31">
        <f t="shared" si="77"/>
        <v>1.0298334875115633</v>
      </c>
      <c r="AA138" s="32">
        <f t="shared" si="78"/>
        <v>42552</v>
      </c>
      <c r="AB138" s="32">
        <f t="shared" si="79"/>
        <v>42735</v>
      </c>
      <c r="AC138" s="50">
        <v>6</v>
      </c>
      <c r="AD138" s="1">
        <f t="shared" si="80"/>
        <v>0</v>
      </c>
      <c r="AE138" s="1">
        <f t="shared" si="81"/>
        <v>0</v>
      </c>
      <c r="AF138" s="1">
        <f t="shared" si="82"/>
        <v>92</v>
      </c>
      <c r="AG138" s="1">
        <f t="shared" si="83"/>
        <v>0</v>
      </c>
      <c r="AH138" s="1">
        <f t="shared" si="84"/>
        <v>0</v>
      </c>
      <c r="AI138" s="23">
        <f t="shared" si="85"/>
        <v>0.5</v>
      </c>
      <c r="AJ138" s="23">
        <f t="shared" si="86"/>
        <v>0.51491674375578167</v>
      </c>
      <c r="AK138" s="23">
        <f t="shared" si="87"/>
        <v>3.0895004625346898</v>
      </c>
      <c r="AL138" s="23">
        <f t="shared" si="88"/>
        <v>6.1790009250693796</v>
      </c>
      <c r="AM138" s="23">
        <f t="shared" si="89"/>
        <v>0</v>
      </c>
      <c r="AN138" s="23">
        <f t="shared" si="90"/>
        <v>6.1790009250693796</v>
      </c>
      <c r="AQ138" s="32">
        <f t="shared" si="91"/>
        <v>42736</v>
      </c>
      <c r="AR138" s="32">
        <f t="shared" si="92"/>
        <v>42916</v>
      </c>
      <c r="AS138" s="50">
        <v>6</v>
      </c>
      <c r="AT138" s="1">
        <f t="shared" si="93"/>
        <v>0</v>
      </c>
      <c r="AU138" s="1">
        <f t="shared" si="94"/>
        <v>0</v>
      </c>
      <c r="AV138" s="1">
        <f t="shared" si="95"/>
        <v>0</v>
      </c>
      <c r="AW138" s="1">
        <f t="shared" si="96"/>
        <v>0</v>
      </c>
      <c r="AX138" s="1">
        <f t="shared" si="97"/>
        <v>90.5</v>
      </c>
      <c r="AY138" s="23">
        <f t="shared" si="98"/>
        <v>0.5</v>
      </c>
      <c r="AZ138" s="23">
        <f t="shared" si="99"/>
        <v>0.51491674375578167</v>
      </c>
      <c r="BA138" s="23">
        <f t="shared" si="100"/>
        <v>1.5447502312673449</v>
      </c>
      <c r="BB138" s="23">
        <f t="shared" si="101"/>
        <v>3.0895004625346898</v>
      </c>
      <c r="BC138" s="23">
        <f t="shared" si="102"/>
        <v>0</v>
      </c>
      <c r="BD138" s="23">
        <f t="shared" si="103"/>
        <v>3.0895004625346898</v>
      </c>
    </row>
    <row r="139" spans="1:56">
      <c r="A139" s="1" t="s">
        <v>20</v>
      </c>
      <c r="B139" s="1" t="s">
        <v>32</v>
      </c>
      <c r="C139" s="1" t="s">
        <v>22</v>
      </c>
      <c r="D139" s="1" t="s">
        <v>33</v>
      </c>
      <c r="E139" s="51" t="s">
        <v>107</v>
      </c>
      <c r="F139" s="51" t="s">
        <v>294</v>
      </c>
      <c r="G139" s="51" t="s">
        <v>109</v>
      </c>
      <c r="H139" s="51" t="s">
        <v>305</v>
      </c>
      <c r="I139" s="1" t="s">
        <v>234</v>
      </c>
      <c r="J139" s="51" t="s">
        <v>112</v>
      </c>
      <c r="K139" s="51" t="s">
        <v>112</v>
      </c>
      <c r="L139" s="51" t="s">
        <v>112</v>
      </c>
      <c r="M139" s="1">
        <v>1939702</v>
      </c>
      <c r="N139" s="50" t="s">
        <v>427</v>
      </c>
      <c r="O139" s="55">
        <f>DATE(2013,4,29)</f>
        <v>41393</v>
      </c>
      <c r="P139" s="55">
        <f>DATE(2015,10,31)</f>
        <v>42308</v>
      </c>
      <c r="Q139" s="51">
        <v>2520</v>
      </c>
      <c r="S139" s="51">
        <v>1</v>
      </c>
      <c r="U139" s="1">
        <f t="shared" si="74"/>
        <v>916</v>
      </c>
      <c r="V139" s="31">
        <f t="shared" si="75"/>
        <v>2.7510917030567685</v>
      </c>
      <c r="W139" s="31">
        <f t="shared" si="76"/>
        <v>1004.1484716157205</v>
      </c>
      <c r="X139" s="31">
        <f t="shared" si="77"/>
        <v>1.2551855895196506</v>
      </c>
      <c r="AA139" s="32">
        <f t="shared" si="78"/>
        <v>42552</v>
      </c>
      <c r="AB139" s="32">
        <f t="shared" si="79"/>
        <v>42735</v>
      </c>
      <c r="AC139" s="50">
        <v>15</v>
      </c>
      <c r="AD139" s="1">
        <f t="shared" si="80"/>
        <v>0</v>
      </c>
      <c r="AE139" s="1">
        <f t="shared" si="81"/>
        <v>0</v>
      </c>
      <c r="AF139" s="1">
        <f t="shared" si="82"/>
        <v>0</v>
      </c>
      <c r="AG139" s="1">
        <f t="shared" si="83"/>
        <v>0</v>
      </c>
      <c r="AH139" s="1">
        <f t="shared" si="84"/>
        <v>92</v>
      </c>
      <c r="AI139" s="23">
        <f t="shared" si="85"/>
        <v>0.5</v>
      </c>
      <c r="AJ139" s="23">
        <f t="shared" si="86"/>
        <v>0.62759279475982532</v>
      </c>
      <c r="AK139" s="23">
        <f t="shared" si="87"/>
        <v>4.7069459606986896</v>
      </c>
      <c r="AL139" s="23">
        <f t="shared" si="88"/>
        <v>4.7069459606986896</v>
      </c>
      <c r="AM139" s="23">
        <f t="shared" si="89"/>
        <v>0</v>
      </c>
      <c r="AN139" s="23">
        <f t="shared" si="90"/>
        <v>4.7069459606986896</v>
      </c>
      <c r="AQ139" s="32">
        <f t="shared" si="91"/>
        <v>42736</v>
      </c>
      <c r="AR139" s="32">
        <f t="shared" si="92"/>
        <v>42916</v>
      </c>
      <c r="AS139" s="50">
        <v>8</v>
      </c>
      <c r="AT139" s="1">
        <f t="shared" si="93"/>
        <v>0</v>
      </c>
      <c r="AU139" s="1">
        <f t="shared" si="94"/>
        <v>0</v>
      </c>
      <c r="AV139" s="1">
        <f t="shared" si="95"/>
        <v>0</v>
      </c>
      <c r="AW139" s="1">
        <f t="shared" si="96"/>
        <v>0</v>
      </c>
      <c r="AX139" s="1">
        <f t="shared" si="97"/>
        <v>90.5</v>
      </c>
      <c r="AY139" s="23">
        <f t="shared" si="98"/>
        <v>0.5</v>
      </c>
      <c r="AZ139" s="23">
        <f t="shared" si="99"/>
        <v>0.62759279475982532</v>
      </c>
      <c r="BA139" s="23">
        <f t="shared" si="100"/>
        <v>2.5103711790393013</v>
      </c>
      <c r="BB139" s="23">
        <f t="shared" si="101"/>
        <v>2.5103711790393013</v>
      </c>
      <c r="BC139" s="23">
        <f t="shared" si="102"/>
        <v>0</v>
      </c>
      <c r="BD139" s="23">
        <f t="shared" si="103"/>
        <v>2.5103711790393013</v>
      </c>
    </row>
    <row r="140" spans="1:56">
      <c r="A140" s="1" t="s">
        <v>20</v>
      </c>
      <c r="B140" s="1" t="s">
        <v>32</v>
      </c>
      <c r="C140" s="1" t="s">
        <v>22</v>
      </c>
      <c r="D140" s="1" t="s">
        <v>33</v>
      </c>
      <c r="E140" s="51" t="s">
        <v>107</v>
      </c>
      <c r="F140" s="51" t="s">
        <v>265</v>
      </c>
      <c r="G140" s="51" t="s">
        <v>109</v>
      </c>
      <c r="H140" s="51" t="s">
        <v>266</v>
      </c>
      <c r="I140" s="1" t="s">
        <v>111</v>
      </c>
      <c r="J140" s="51" t="s">
        <v>112</v>
      </c>
      <c r="K140" s="51" t="s">
        <v>112</v>
      </c>
      <c r="L140" s="51" t="s">
        <v>112</v>
      </c>
      <c r="M140" s="1">
        <v>1939866</v>
      </c>
      <c r="N140" s="52" t="s">
        <v>428</v>
      </c>
      <c r="O140" s="55">
        <f>DATE(2013,4,29)</f>
        <v>41393</v>
      </c>
      <c r="P140" s="55">
        <f>DATE(2018,4,30)</f>
        <v>43220</v>
      </c>
      <c r="Q140" s="51">
        <v>4380</v>
      </c>
      <c r="S140" s="51">
        <v>2.5</v>
      </c>
      <c r="U140" s="1">
        <f t="shared" si="74"/>
        <v>1828</v>
      </c>
      <c r="V140" s="31">
        <f t="shared" si="75"/>
        <v>2.3960612691466081</v>
      </c>
      <c r="W140" s="31">
        <f t="shared" si="76"/>
        <v>874.56236323851192</v>
      </c>
      <c r="X140" s="31">
        <f t="shared" si="77"/>
        <v>1.0932029540481398</v>
      </c>
      <c r="AA140" s="32">
        <f t="shared" si="78"/>
        <v>42552</v>
      </c>
      <c r="AB140" s="32">
        <f t="shared" si="79"/>
        <v>42735</v>
      </c>
      <c r="AC140" s="52">
        <v>11</v>
      </c>
      <c r="AD140" s="1">
        <f t="shared" si="80"/>
        <v>184</v>
      </c>
      <c r="AE140" s="1">
        <f t="shared" si="81"/>
        <v>0</v>
      </c>
      <c r="AF140" s="1">
        <f t="shared" si="82"/>
        <v>0</v>
      </c>
      <c r="AG140" s="1">
        <f t="shared" si="83"/>
        <v>0</v>
      </c>
      <c r="AH140" s="1">
        <f t="shared" si="84"/>
        <v>0</v>
      </c>
      <c r="AI140" s="23">
        <f t="shared" si="85"/>
        <v>1</v>
      </c>
      <c r="AJ140" s="23">
        <f t="shared" si="86"/>
        <v>1.0932029540481398</v>
      </c>
      <c r="AK140" s="23">
        <f t="shared" si="87"/>
        <v>12.025232494529538</v>
      </c>
      <c r="AL140" s="23">
        <f t="shared" si="88"/>
        <v>30.063081236323846</v>
      </c>
      <c r="AM140" s="23">
        <f t="shared" si="89"/>
        <v>0</v>
      </c>
      <c r="AN140" s="23">
        <f t="shared" si="90"/>
        <v>30.063081236323846</v>
      </c>
      <c r="AQ140" s="32">
        <f t="shared" si="91"/>
        <v>42736</v>
      </c>
      <c r="AR140" s="32">
        <f t="shared" si="92"/>
        <v>42916</v>
      </c>
      <c r="AS140" s="52">
        <v>11</v>
      </c>
      <c r="AT140" s="1">
        <f t="shared" si="93"/>
        <v>181</v>
      </c>
      <c r="AU140" s="1">
        <f t="shared" si="94"/>
        <v>0</v>
      </c>
      <c r="AV140" s="1">
        <f t="shared" si="95"/>
        <v>0</v>
      </c>
      <c r="AW140" s="1">
        <f t="shared" si="96"/>
        <v>0</v>
      </c>
      <c r="AX140" s="1">
        <f t="shared" si="97"/>
        <v>0</v>
      </c>
      <c r="AY140" s="23">
        <f t="shared" si="98"/>
        <v>1</v>
      </c>
      <c r="AZ140" s="23">
        <f t="shared" si="99"/>
        <v>1.0932029540481398</v>
      </c>
      <c r="BA140" s="23">
        <f t="shared" si="100"/>
        <v>12.025232494529538</v>
      </c>
      <c r="BB140" s="23">
        <f t="shared" si="101"/>
        <v>30.063081236323846</v>
      </c>
      <c r="BC140" s="23">
        <f t="shared" si="102"/>
        <v>0</v>
      </c>
      <c r="BD140" s="23">
        <f t="shared" si="103"/>
        <v>30.063081236323846</v>
      </c>
    </row>
    <row r="141" spans="1:56">
      <c r="A141" s="1" t="s">
        <v>20</v>
      </c>
      <c r="B141" s="1" t="s">
        <v>32</v>
      </c>
      <c r="C141" s="1" t="s">
        <v>22</v>
      </c>
      <c r="D141" s="1" t="s">
        <v>33</v>
      </c>
      <c r="E141" s="51" t="s">
        <v>107</v>
      </c>
      <c r="F141" s="51" t="s">
        <v>108</v>
      </c>
      <c r="G141" s="51" t="s">
        <v>109</v>
      </c>
      <c r="H141" s="51" t="s">
        <v>429</v>
      </c>
      <c r="I141" s="1" t="s">
        <v>131</v>
      </c>
      <c r="J141" s="51" t="s">
        <v>112</v>
      </c>
      <c r="K141" s="51" t="s">
        <v>112</v>
      </c>
      <c r="L141" s="51" t="s">
        <v>112</v>
      </c>
      <c r="M141" s="1">
        <v>1940561</v>
      </c>
      <c r="N141" s="50" t="s">
        <v>430</v>
      </c>
      <c r="O141" s="55">
        <f>DATE(2013,4,29)</f>
        <v>41393</v>
      </c>
      <c r="P141" s="55">
        <f>DATE(2015,4,30)</f>
        <v>42124</v>
      </c>
      <c r="Q141" s="51">
        <v>1480</v>
      </c>
      <c r="S141" s="51">
        <v>1</v>
      </c>
      <c r="U141" s="1">
        <f t="shared" si="74"/>
        <v>732</v>
      </c>
      <c r="V141" s="31">
        <f t="shared" si="75"/>
        <v>2.0218579234972678</v>
      </c>
      <c r="W141" s="31">
        <f t="shared" si="76"/>
        <v>737.97814207650276</v>
      </c>
      <c r="X141" s="31">
        <f t="shared" si="77"/>
        <v>0.92247267759562845</v>
      </c>
      <c r="AA141" s="32">
        <f t="shared" si="78"/>
        <v>42552</v>
      </c>
      <c r="AB141" s="32">
        <f t="shared" si="79"/>
        <v>42735</v>
      </c>
      <c r="AC141" s="50">
        <v>14</v>
      </c>
      <c r="AD141" s="1">
        <f t="shared" si="80"/>
        <v>0</v>
      </c>
      <c r="AE141" s="1">
        <f t="shared" si="81"/>
        <v>0</v>
      </c>
      <c r="AF141" s="1">
        <f t="shared" si="82"/>
        <v>0</v>
      </c>
      <c r="AG141" s="1">
        <f t="shared" si="83"/>
        <v>0</v>
      </c>
      <c r="AH141" s="1">
        <f t="shared" si="84"/>
        <v>92</v>
      </c>
      <c r="AI141" s="23">
        <f t="shared" si="85"/>
        <v>0.5</v>
      </c>
      <c r="AJ141" s="23">
        <f t="shared" si="86"/>
        <v>0.46123633879781423</v>
      </c>
      <c r="AK141" s="23">
        <f t="shared" si="87"/>
        <v>3.2286543715846996</v>
      </c>
      <c r="AL141" s="23">
        <f t="shared" si="88"/>
        <v>3.2286543715846996</v>
      </c>
      <c r="AM141" s="23">
        <f t="shared" si="89"/>
        <v>0</v>
      </c>
      <c r="AN141" s="23">
        <f t="shared" si="90"/>
        <v>3.2286543715846996</v>
      </c>
      <c r="AQ141" s="32">
        <f t="shared" si="91"/>
        <v>42736</v>
      </c>
      <c r="AR141" s="32">
        <f t="shared" si="92"/>
        <v>42916</v>
      </c>
      <c r="AS141" s="50">
        <v>14</v>
      </c>
      <c r="AT141" s="1">
        <f t="shared" si="93"/>
        <v>0</v>
      </c>
      <c r="AU141" s="1">
        <f t="shared" si="94"/>
        <v>0</v>
      </c>
      <c r="AV141" s="1">
        <f t="shared" si="95"/>
        <v>0</v>
      </c>
      <c r="AW141" s="1">
        <f t="shared" si="96"/>
        <v>0</v>
      </c>
      <c r="AX141" s="1">
        <f t="shared" si="97"/>
        <v>90.5</v>
      </c>
      <c r="AY141" s="23">
        <f t="shared" si="98"/>
        <v>0.5</v>
      </c>
      <c r="AZ141" s="23">
        <f t="shared" si="99"/>
        <v>0.46123633879781423</v>
      </c>
      <c r="BA141" s="23">
        <f t="shared" si="100"/>
        <v>3.2286543715846996</v>
      </c>
      <c r="BB141" s="23">
        <f t="shared" si="101"/>
        <v>3.2286543715846996</v>
      </c>
      <c r="BC141" s="23">
        <f t="shared" si="102"/>
        <v>0</v>
      </c>
      <c r="BD141" s="23">
        <f t="shared" si="103"/>
        <v>3.2286543715846996</v>
      </c>
    </row>
    <row r="142" spans="1:56">
      <c r="A142" s="1" t="s">
        <v>20</v>
      </c>
      <c r="B142" s="1" t="s">
        <v>32</v>
      </c>
      <c r="C142" s="1" t="s">
        <v>22</v>
      </c>
      <c r="D142" s="1" t="s">
        <v>33</v>
      </c>
      <c r="E142" s="51" t="s">
        <v>107</v>
      </c>
      <c r="F142" s="51" t="s">
        <v>114</v>
      </c>
      <c r="G142" s="51" t="s">
        <v>109</v>
      </c>
      <c r="H142" s="51" t="s">
        <v>313</v>
      </c>
      <c r="I142" s="1" t="s">
        <v>116</v>
      </c>
      <c r="J142" s="51" t="s">
        <v>112</v>
      </c>
      <c r="K142" s="51" t="s">
        <v>112</v>
      </c>
      <c r="L142" s="51" t="s">
        <v>112</v>
      </c>
      <c r="M142" s="1">
        <v>1940562</v>
      </c>
      <c r="N142" s="51" t="s">
        <v>431</v>
      </c>
      <c r="O142" s="55">
        <f t="shared" ref="O142:O147" si="104">DATE(2014,3,31)</f>
        <v>41729</v>
      </c>
      <c r="P142" s="55">
        <f>DATE(2017,3,31)</f>
        <v>42825</v>
      </c>
      <c r="Q142" s="51">
        <v>3220</v>
      </c>
      <c r="S142" s="51">
        <v>2.5</v>
      </c>
      <c r="U142" s="1">
        <f t="shared" si="74"/>
        <v>1097</v>
      </c>
      <c r="V142" s="31">
        <f t="shared" si="75"/>
        <v>2.9352780309936191</v>
      </c>
      <c r="W142" s="31">
        <f t="shared" si="76"/>
        <v>1071.3764813126709</v>
      </c>
      <c r="X142" s="31">
        <f t="shared" si="77"/>
        <v>1.3392206016408386</v>
      </c>
      <c r="AA142" s="32">
        <f t="shared" si="78"/>
        <v>42552</v>
      </c>
      <c r="AB142" s="32">
        <f t="shared" si="79"/>
        <v>42735</v>
      </c>
      <c r="AC142" s="51">
        <v>24</v>
      </c>
      <c r="AD142" s="1">
        <f t="shared" si="80"/>
        <v>184</v>
      </c>
      <c r="AE142" s="1">
        <f t="shared" si="81"/>
        <v>0</v>
      </c>
      <c r="AF142" s="1">
        <f t="shared" si="82"/>
        <v>0</v>
      </c>
      <c r="AG142" s="1">
        <f t="shared" si="83"/>
        <v>0</v>
      </c>
      <c r="AH142" s="1">
        <f t="shared" si="84"/>
        <v>0</v>
      </c>
      <c r="AI142" s="23">
        <f t="shared" si="85"/>
        <v>1</v>
      </c>
      <c r="AJ142" s="23">
        <f t="shared" si="86"/>
        <v>1.3392206016408386</v>
      </c>
      <c r="AK142" s="23">
        <f t="shared" si="87"/>
        <v>32.141294439380125</v>
      </c>
      <c r="AL142" s="23">
        <f t="shared" si="88"/>
        <v>80.35323609845031</v>
      </c>
      <c r="AM142" s="23">
        <f t="shared" si="89"/>
        <v>0</v>
      </c>
      <c r="AN142" s="23">
        <f t="shared" si="90"/>
        <v>80.35323609845031</v>
      </c>
      <c r="AQ142" s="32">
        <f t="shared" si="91"/>
        <v>42736</v>
      </c>
      <c r="AR142" s="32">
        <f t="shared" si="92"/>
        <v>42916</v>
      </c>
      <c r="AS142" s="51">
        <v>24</v>
      </c>
      <c r="AT142" s="1">
        <f t="shared" si="93"/>
        <v>0</v>
      </c>
      <c r="AU142" s="1">
        <f t="shared" si="94"/>
        <v>0</v>
      </c>
      <c r="AV142" s="1">
        <f t="shared" si="95"/>
        <v>90</v>
      </c>
      <c r="AW142" s="1">
        <f t="shared" si="96"/>
        <v>0</v>
      </c>
      <c r="AX142" s="1">
        <f t="shared" si="97"/>
        <v>0</v>
      </c>
      <c r="AY142" s="23">
        <f t="shared" si="98"/>
        <v>0.49723756906077349</v>
      </c>
      <c r="AZ142" s="23">
        <f t="shared" si="99"/>
        <v>0.66591079639599704</v>
      </c>
      <c r="BA142" s="23">
        <f t="shared" si="100"/>
        <v>15.98185911350393</v>
      </c>
      <c r="BB142" s="23">
        <f t="shared" si="101"/>
        <v>39.954647783759825</v>
      </c>
      <c r="BC142" s="23">
        <f t="shared" si="102"/>
        <v>0</v>
      </c>
      <c r="BD142" s="23">
        <f t="shared" si="103"/>
        <v>39.954647783759825</v>
      </c>
    </row>
    <row r="143" spans="1:56">
      <c r="A143" s="1" t="s">
        <v>20</v>
      </c>
      <c r="B143" s="1" t="s">
        <v>32</v>
      </c>
      <c r="C143" s="1" t="s">
        <v>22</v>
      </c>
      <c r="D143" s="1" t="s">
        <v>33</v>
      </c>
      <c r="E143" s="51" t="s">
        <v>107</v>
      </c>
      <c r="F143" s="51" t="s">
        <v>294</v>
      </c>
      <c r="G143" s="51" t="s">
        <v>109</v>
      </c>
      <c r="H143" s="51" t="s">
        <v>297</v>
      </c>
      <c r="I143" s="1" t="s">
        <v>147</v>
      </c>
      <c r="J143" s="51" t="s">
        <v>112</v>
      </c>
      <c r="K143" s="51" t="s">
        <v>112</v>
      </c>
      <c r="L143" s="51" t="s">
        <v>112</v>
      </c>
      <c r="M143" s="1">
        <v>1940563</v>
      </c>
      <c r="N143" s="51" t="s">
        <v>432</v>
      </c>
      <c r="O143" s="55">
        <f t="shared" si="104"/>
        <v>41729</v>
      </c>
      <c r="P143" s="55">
        <f>DATE(2017,3,31)</f>
        <v>42825</v>
      </c>
      <c r="Q143" s="51">
        <v>2260</v>
      </c>
      <c r="S143" s="51">
        <v>2</v>
      </c>
      <c r="U143" s="1">
        <f t="shared" si="74"/>
        <v>1097</v>
      </c>
      <c r="V143" s="31">
        <f t="shared" si="75"/>
        <v>2.0601640838650868</v>
      </c>
      <c r="W143" s="31">
        <f t="shared" si="76"/>
        <v>751.9598906107567</v>
      </c>
      <c r="X143" s="31">
        <f t="shared" si="77"/>
        <v>0.93994986326344587</v>
      </c>
      <c r="AA143" s="32">
        <f t="shared" si="78"/>
        <v>42552</v>
      </c>
      <c r="AB143" s="32">
        <f t="shared" si="79"/>
        <v>42735</v>
      </c>
      <c r="AC143" s="51">
        <v>20</v>
      </c>
      <c r="AD143" s="1">
        <f t="shared" si="80"/>
        <v>184</v>
      </c>
      <c r="AE143" s="1">
        <f t="shared" si="81"/>
        <v>0</v>
      </c>
      <c r="AF143" s="1">
        <f t="shared" si="82"/>
        <v>0</v>
      </c>
      <c r="AG143" s="1">
        <f t="shared" si="83"/>
        <v>0</v>
      </c>
      <c r="AH143" s="1">
        <f t="shared" si="84"/>
        <v>0</v>
      </c>
      <c r="AI143" s="23">
        <f t="shared" si="85"/>
        <v>1</v>
      </c>
      <c r="AJ143" s="23">
        <f t="shared" si="86"/>
        <v>0.93994986326344587</v>
      </c>
      <c r="AK143" s="23">
        <f t="shared" si="87"/>
        <v>18.798997265268916</v>
      </c>
      <c r="AL143" s="23">
        <f t="shared" si="88"/>
        <v>37.597994530537832</v>
      </c>
      <c r="AM143" s="23">
        <f t="shared" si="89"/>
        <v>0</v>
      </c>
      <c r="AN143" s="23">
        <f t="shared" si="90"/>
        <v>37.597994530537832</v>
      </c>
      <c r="AQ143" s="32">
        <f t="shared" si="91"/>
        <v>42736</v>
      </c>
      <c r="AR143" s="32">
        <f t="shared" si="92"/>
        <v>42916</v>
      </c>
      <c r="AS143" s="51">
        <v>18</v>
      </c>
      <c r="AT143" s="1">
        <f t="shared" si="93"/>
        <v>0</v>
      </c>
      <c r="AU143" s="1">
        <f t="shared" si="94"/>
        <v>0</v>
      </c>
      <c r="AV143" s="1">
        <f t="shared" si="95"/>
        <v>90</v>
      </c>
      <c r="AW143" s="1">
        <f t="shared" si="96"/>
        <v>0</v>
      </c>
      <c r="AX143" s="1">
        <f t="shared" si="97"/>
        <v>0</v>
      </c>
      <c r="AY143" s="23">
        <f t="shared" si="98"/>
        <v>0.49723756906077349</v>
      </c>
      <c r="AZ143" s="23">
        <f t="shared" si="99"/>
        <v>0.46737838504812229</v>
      </c>
      <c r="BA143" s="23">
        <f t="shared" si="100"/>
        <v>8.4128109308662005</v>
      </c>
      <c r="BB143" s="23">
        <f t="shared" si="101"/>
        <v>16.825621861732401</v>
      </c>
      <c r="BC143" s="23">
        <f t="shared" si="102"/>
        <v>0</v>
      </c>
      <c r="BD143" s="23">
        <f t="shared" si="103"/>
        <v>16.825621861732401</v>
      </c>
    </row>
    <row r="144" spans="1:56">
      <c r="A144" s="1" t="s">
        <v>20</v>
      </c>
      <c r="B144" s="1" t="s">
        <v>32</v>
      </c>
      <c r="C144" s="1" t="s">
        <v>22</v>
      </c>
      <c r="D144" s="1" t="s">
        <v>33</v>
      </c>
      <c r="E144" s="51" t="s">
        <v>107</v>
      </c>
      <c r="F144" s="51" t="s">
        <v>294</v>
      </c>
      <c r="G144" s="51" t="s">
        <v>109</v>
      </c>
      <c r="H144" s="51" t="s">
        <v>295</v>
      </c>
      <c r="I144" s="1" t="s">
        <v>111</v>
      </c>
      <c r="J144" s="51" t="s">
        <v>112</v>
      </c>
      <c r="K144" s="51" t="s">
        <v>112</v>
      </c>
      <c r="L144" s="51" t="s">
        <v>112</v>
      </c>
      <c r="M144" s="1">
        <v>1940564</v>
      </c>
      <c r="N144" s="51" t="s">
        <v>433</v>
      </c>
      <c r="O144" s="55">
        <f t="shared" si="104"/>
        <v>41729</v>
      </c>
      <c r="P144" s="55">
        <f>DATE(2017,3,31)</f>
        <v>42825</v>
      </c>
      <c r="Q144" s="51">
        <v>2400</v>
      </c>
      <c r="S144" s="51">
        <v>2.5</v>
      </c>
      <c r="U144" s="1">
        <f t="shared" si="74"/>
        <v>1097</v>
      </c>
      <c r="V144" s="31">
        <f t="shared" si="75"/>
        <v>2.187784867821331</v>
      </c>
      <c r="W144" s="31">
        <f t="shared" si="76"/>
        <v>798.54147675478578</v>
      </c>
      <c r="X144" s="31">
        <f t="shared" si="77"/>
        <v>0.99817684594348222</v>
      </c>
      <c r="AA144" s="32">
        <f t="shared" si="78"/>
        <v>42552</v>
      </c>
      <c r="AB144" s="32">
        <f t="shared" si="79"/>
        <v>42735</v>
      </c>
      <c r="AC144" s="51">
        <v>17</v>
      </c>
      <c r="AD144" s="1">
        <f t="shared" si="80"/>
        <v>184</v>
      </c>
      <c r="AE144" s="1">
        <f t="shared" si="81"/>
        <v>0</v>
      </c>
      <c r="AF144" s="1">
        <f t="shared" si="82"/>
        <v>0</v>
      </c>
      <c r="AG144" s="1">
        <f t="shared" si="83"/>
        <v>0</v>
      </c>
      <c r="AH144" s="1">
        <f t="shared" si="84"/>
        <v>0</v>
      </c>
      <c r="AI144" s="23">
        <f t="shared" si="85"/>
        <v>1</v>
      </c>
      <c r="AJ144" s="23">
        <f t="shared" si="86"/>
        <v>0.99817684594348222</v>
      </c>
      <c r="AK144" s="23">
        <f t="shared" si="87"/>
        <v>16.969006381039197</v>
      </c>
      <c r="AL144" s="23">
        <f t="shared" si="88"/>
        <v>42.42251595259799</v>
      </c>
      <c r="AM144" s="23">
        <f t="shared" si="89"/>
        <v>0</v>
      </c>
      <c r="AN144" s="23">
        <f t="shared" si="90"/>
        <v>42.42251595259799</v>
      </c>
      <c r="AQ144" s="32">
        <f t="shared" si="91"/>
        <v>42736</v>
      </c>
      <c r="AR144" s="32">
        <f t="shared" si="92"/>
        <v>42916</v>
      </c>
      <c r="AS144" s="51">
        <v>7</v>
      </c>
      <c r="AT144" s="1">
        <f t="shared" si="93"/>
        <v>0</v>
      </c>
      <c r="AU144" s="1">
        <f t="shared" si="94"/>
        <v>0</v>
      </c>
      <c r="AV144" s="1">
        <f t="shared" si="95"/>
        <v>90</v>
      </c>
      <c r="AW144" s="1">
        <f t="shared" si="96"/>
        <v>0</v>
      </c>
      <c r="AX144" s="1">
        <f t="shared" si="97"/>
        <v>0</v>
      </c>
      <c r="AY144" s="23">
        <f t="shared" si="98"/>
        <v>0.49723756906077349</v>
      </c>
      <c r="AZ144" s="23">
        <f t="shared" si="99"/>
        <v>0.49633102836968729</v>
      </c>
      <c r="BA144" s="23">
        <f t="shared" si="100"/>
        <v>3.4743171985878112</v>
      </c>
      <c r="BB144" s="23">
        <f t="shared" si="101"/>
        <v>8.6857929964695284</v>
      </c>
      <c r="BC144" s="23">
        <f t="shared" si="102"/>
        <v>0</v>
      </c>
      <c r="BD144" s="23">
        <f t="shared" si="103"/>
        <v>8.6857929964695284</v>
      </c>
    </row>
    <row r="145" spans="1:56">
      <c r="A145" s="1" t="s">
        <v>20</v>
      </c>
      <c r="B145" s="1" t="s">
        <v>32</v>
      </c>
      <c r="C145" s="1" t="s">
        <v>22</v>
      </c>
      <c r="D145" s="1" t="s">
        <v>33</v>
      </c>
      <c r="E145" s="51" t="s">
        <v>107</v>
      </c>
      <c r="F145" s="51" t="s">
        <v>294</v>
      </c>
      <c r="G145" s="51" t="s">
        <v>109</v>
      </c>
      <c r="H145" s="51" t="s">
        <v>303</v>
      </c>
      <c r="I145" s="1" t="s">
        <v>128</v>
      </c>
      <c r="J145" s="51" t="s">
        <v>112</v>
      </c>
      <c r="K145" s="51" t="s">
        <v>112</v>
      </c>
      <c r="L145" s="51" t="s">
        <v>112</v>
      </c>
      <c r="M145" s="1">
        <v>1940565</v>
      </c>
      <c r="N145" s="51" t="s">
        <v>434</v>
      </c>
      <c r="O145" s="55">
        <f t="shared" si="104"/>
        <v>41729</v>
      </c>
      <c r="P145" s="55">
        <f>DATE(2017,3,31)</f>
        <v>42825</v>
      </c>
      <c r="Q145" s="51">
        <v>3120</v>
      </c>
      <c r="S145" s="51">
        <v>2.5</v>
      </c>
      <c r="U145" s="1">
        <f t="shared" si="74"/>
        <v>1097</v>
      </c>
      <c r="V145" s="31">
        <f t="shared" si="75"/>
        <v>2.8441203281677301</v>
      </c>
      <c r="W145" s="31">
        <f t="shared" si="76"/>
        <v>1038.1039197812215</v>
      </c>
      <c r="X145" s="31">
        <f t="shared" si="77"/>
        <v>1.297629899726527</v>
      </c>
      <c r="AA145" s="32">
        <f t="shared" si="78"/>
        <v>42552</v>
      </c>
      <c r="AB145" s="32">
        <f t="shared" si="79"/>
        <v>42735</v>
      </c>
      <c r="AC145" s="51">
        <v>14</v>
      </c>
      <c r="AD145" s="1">
        <f t="shared" si="80"/>
        <v>184</v>
      </c>
      <c r="AE145" s="1">
        <f t="shared" si="81"/>
        <v>0</v>
      </c>
      <c r="AF145" s="1">
        <f t="shared" si="82"/>
        <v>0</v>
      </c>
      <c r="AG145" s="1">
        <f t="shared" si="83"/>
        <v>0</v>
      </c>
      <c r="AH145" s="1">
        <f t="shared" si="84"/>
        <v>0</v>
      </c>
      <c r="AI145" s="23">
        <f t="shared" si="85"/>
        <v>1</v>
      </c>
      <c r="AJ145" s="23">
        <f t="shared" si="86"/>
        <v>1.297629899726527</v>
      </c>
      <c r="AK145" s="23">
        <f t="shared" si="87"/>
        <v>18.166818596171378</v>
      </c>
      <c r="AL145" s="23">
        <f t="shared" si="88"/>
        <v>45.417046490428447</v>
      </c>
      <c r="AM145" s="23">
        <f t="shared" si="89"/>
        <v>0</v>
      </c>
      <c r="AN145" s="23">
        <f t="shared" si="90"/>
        <v>45.417046490428447</v>
      </c>
      <c r="AQ145" s="32">
        <f t="shared" si="91"/>
        <v>42736</v>
      </c>
      <c r="AR145" s="32">
        <f t="shared" si="92"/>
        <v>42916</v>
      </c>
      <c r="AS145" s="51">
        <v>14</v>
      </c>
      <c r="AT145" s="1">
        <f t="shared" si="93"/>
        <v>0</v>
      </c>
      <c r="AU145" s="1">
        <f t="shared" si="94"/>
        <v>0</v>
      </c>
      <c r="AV145" s="1">
        <f t="shared" si="95"/>
        <v>90</v>
      </c>
      <c r="AW145" s="1">
        <f t="shared" si="96"/>
        <v>0</v>
      </c>
      <c r="AX145" s="1">
        <f t="shared" si="97"/>
        <v>0</v>
      </c>
      <c r="AY145" s="23">
        <f t="shared" si="98"/>
        <v>0.49723756906077349</v>
      </c>
      <c r="AZ145" s="23">
        <f t="shared" si="99"/>
        <v>0.6452303368805935</v>
      </c>
      <c r="BA145" s="23">
        <f t="shared" si="100"/>
        <v>9.0332247163283093</v>
      </c>
      <c r="BB145" s="23">
        <f t="shared" si="101"/>
        <v>22.583061790820771</v>
      </c>
      <c r="BC145" s="23">
        <f t="shared" si="102"/>
        <v>0</v>
      </c>
      <c r="BD145" s="23">
        <f t="shared" si="103"/>
        <v>22.583061790820771</v>
      </c>
    </row>
    <row r="146" spans="1:56">
      <c r="A146" s="1" t="s">
        <v>20</v>
      </c>
      <c r="B146" s="1" t="s">
        <v>32</v>
      </c>
      <c r="C146" s="1" t="s">
        <v>22</v>
      </c>
      <c r="D146" s="1" t="s">
        <v>33</v>
      </c>
      <c r="E146" s="51" t="s">
        <v>107</v>
      </c>
      <c r="F146" s="51" t="s">
        <v>294</v>
      </c>
      <c r="G146" s="51" t="s">
        <v>109</v>
      </c>
      <c r="H146" s="51" t="s">
        <v>305</v>
      </c>
      <c r="I146" s="1" t="s">
        <v>234</v>
      </c>
      <c r="J146" s="51" t="s">
        <v>112</v>
      </c>
      <c r="K146" s="51" t="s">
        <v>112</v>
      </c>
      <c r="L146" s="51" t="s">
        <v>112</v>
      </c>
      <c r="M146" s="1">
        <v>1940566</v>
      </c>
      <c r="N146" s="50" t="s">
        <v>435</v>
      </c>
      <c r="O146" s="55">
        <f t="shared" si="104"/>
        <v>41729</v>
      </c>
      <c r="P146" s="55">
        <f>DATE(2016,9,30)</f>
        <v>42643</v>
      </c>
      <c r="Q146" s="51">
        <v>2520</v>
      </c>
      <c r="S146" s="51">
        <v>1</v>
      </c>
      <c r="U146" s="1">
        <f t="shared" si="74"/>
        <v>915</v>
      </c>
      <c r="V146" s="31">
        <f t="shared" si="75"/>
        <v>2.7540983606557377</v>
      </c>
      <c r="W146" s="31">
        <f t="shared" si="76"/>
        <v>1005.2459016393442</v>
      </c>
      <c r="X146" s="31">
        <f t="shared" si="77"/>
        <v>1.2565573770491802</v>
      </c>
      <c r="AA146" s="32">
        <f t="shared" si="78"/>
        <v>42552</v>
      </c>
      <c r="AB146" s="32">
        <f t="shared" si="79"/>
        <v>42735</v>
      </c>
      <c r="AC146" s="50">
        <v>13</v>
      </c>
      <c r="AD146" s="1">
        <f t="shared" si="80"/>
        <v>0</v>
      </c>
      <c r="AE146" s="1">
        <f t="shared" si="81"/>
        <v>0</v>
      </c>
      <c r="AF146" s="1">
        <f t="shared" si="82"/>
        <v>92</v>
      </c>
      <c r="AG146" s="1">
        <f t="shared" si="83"/>
        <v>0</v>
      </c>
      <c r="AH146" s="1">
        <f t="shared" si="84"/>
        <v>0</v>
      </c>
      <c r="AI146" s="23">
        <f t="shared" si="85"/>
        <v>0.5</v>
      </c>
      <c r="AJ146" s="23">
        <f t="shared" si="86"/>
        <v>0.62827868852459012</v>
      </c>
      <c r="AK146" s="23">
        <f t="shared" si="87"/>
        <v>8.1676229508196716</v>
      </c>
      <c r="AL146" s="23">
        <f t="shared" si="88"/>
        <v>8.1676229508196716</v>
      </c>
      <c r="AM146" s="23">
        <f t="shared" si="89"/>
        <v>0</v>
      </c>
      <c r="AN146" s="23">
        <f t="shared" si="90"/>
        <v>8.1676229508196716</v>
      </c>
      <c r="AQ146" s="32">
        <f t="shared" si="91"/>
        <v>42736</v>
      </c>
      <c r="AR146" s="32">
        <f t="shared" si="92"/>
        <v>42916</v>
      </c>
      <c r="AS146" s="50">
        <v>13</v>
      </c>
      <c r="AT146" s="1">
        <f t="shared" si="93"/>
        <v>0</v>
      </c>
      <c r="AU146" s="1">
        <f t="shared" si="94"/>
        <v>0</v>
      </c>
      <c r="AV146" s="1">
        <f t="shared" si="95"/>
        <v>0</v>
      </c>
      <c r="AW146" s="1">
        <f t="shared" si="96"/>
        <v>0</v>
      </c>
      <c r="AX146" s="1">
        <f t="shared" si="97"/>
        <v>90.5</v>
      </c>
      <c r="AY146" s="23">
        <f t="shared" si="98"/>
        <v>0.5</v>
      </c>
      <c r="AZ146" s="23">
        <f t="shared" si="99"/>
        <v>0.62827868852459012</v>
      </c>
      <c r="BA146" s="23">
        <f t="shared" si="100"/>
        <v>4.0838114754098358</v>
      </c>
      <c r="BB146" s="23">
        <f t="shared" si="101"/>
        <v>4.0838114754098358</v>
      </c>
      <c r="BC146" s="23">
        <f t="shared" si="102"/>
        <v>0</v>
      </c>
      <c r="BD146" s="23">
        <f t="shared" si="103"/>
        <v>4.0838114754098358</v>
      </c>
    </row>
    <row r="147" spans="1:56">
      <c r="A147" s="1" t="s">
        <v>20</v>
      </c>
      <c r="B147" s="1" t="s">
        <v>32</v>
      </c>
      <c r="C147" s="1" t="s">
        <v>22</v>
      </c>
      <c r="D147" s="1" t="s">
        <v>33</v>
      </c>
      <c r="E147" s="51" t="s">
        <v>107</v>
      </c>
      <c r="F147" s="51" t="s">
        <v>294</v>
      </c>
      <c r="G147" s="51" t="s">
        <v>109</v>
      </c>
      <c r="H147" s="51" t="s">
        <v>301</v>
      </c>
      <c r="I147" s="1" t="s">
        <v>111</v>
      </c>
      <c r="J147" s="51" t="s">
        <v>112</v>
      </c>
      <c r="K147" s="51" t="s">
        <v>112</v>
      </c>
      <c r="L147" s="51" t="s">
        <v>112</v>
      </c>
      <c r="M147" s="1">
        <v>1940567</v>
      </c>
      <c r="N147" s="51" t="s">
        <v>436</v>
      </c>
      <c r="O147" s="55">
        <f t="shared" si="104"/>
        <v>41729</v>
      </c>
      <c r="P147" s="55">
        <f>DATE(2017,3,31)</f>
        <v>42825</v>
      </c>
      <c r="Q147" s="51">
        <v>2705</v>
      </c>
      <c r="S147" s="51">
        <v>2</v>
      </c>
      <c r="U147" s="1">
        <f t="shared" si="74"/>
        <v>1097</v>
      </c>
      <c r="V147" s="31">
        <f t="shared" si="75"/>
        <v>2.4658158614402916</v>
      </c>
      <c r="W147" s="31">
        <f t="shared" si="76"/>
        <v>900.02278942570649</v>
      </c>
      <c r="X147" s="31">
        <f t="shared" si="77"/>
        <v>1.1250284867821332</v>
      </c>
      <c r="AA147" s="32">
        <f t="shared" si="78"/>
        <v>42552</v>
      </c>
      <c r="AB147" s="32">
        <f t="shared" si="79"/>
        <v>42735</v>
      </c>
      <c r="AC147" s="51">
        <v>9</v>
      </c>
      <c r="AD147" s="1">
        <f t="shared" si="80"/>
        <v>184</v>
      </c>
      <c r="AE147" s="1">
        <f t="shared" si="81"/>
        <v>0</v>
      </c>
      <c r="AF147" s="1">
        <f t="shared" si="82"/>
        <v>0</v>
      </c>
      <c r="AG147" s="1">
        <f t="shared" si="83"/>
        <v>0</v>
      </c>
      <c r="AH147" s="1">
        <f t="shared" si="84"/>
        <v>0</v>
      </c>
      <c r="AI147" s="23">
        <f t="shared" si="85"/>
        <v>1</v>
      </c>
      <c r="AJ147" s="23">
        <f t="shared" si="86"/>
        <v>1.1250284867821332</v>
      </c>
      <c r="AK147" s="23">
        <f t="shared" si="87"/>
        <v>10.125256381039199</v>
      </c>
      <c r="AL147" s="23">
        <f t="shared" si="88"/>
        <v>20.250512762078397</v>
      </c>
      <c r="AM147" s="23">
        <f t="shared" si="89"/>
        <v>0</v>
      </c>
      <c r="AN147" s="23">
        <f t="shared" si="90"/>
        <v>20.250512762078397</v>
      </c>
      <c r="AQ147" s="32">
        <f t="shared" si="91"/>
        <v>42736</v>
      </c>
      <c r="AR147" s="32">
        <f t="shared" si="92"/>
        <v>42916</v>
      </c>
      <c r="AS147" s="51">
        <v>9</v>
      </c>
      <c r="AT147" s="1">
        <f t="shared" si="93"/>
        <v>0</v>
      </c>
      <c r="AU147" s="1">
        <f t="shared" si="94"/>
        <v>0</v>
      </c>
      <c r="AV147" s="1">
        <f t="shared" si="95"/>
        <v>90</v>
      </c>
      <c r="AW147" s="1">
        <f t="shared" si="96"/>
        <v>0</v>
      </c>
      <c r="AX147" s="1">
        <f t="shared" si="97"/>
        <v>0</v>
      </c>
      <c r="AY147" s="23">
        <f t="shared" si="98"/>
        <v>0.49723756906077349</v>
      </c>
      <c r="AZ147" s="23">
        <f t="shared" si="99"/>
        <v>0.55940642989166844</v>
      </c>
      <c r="BA147" s="23">
        <f t="shared" si="100"/>
        <v>5.0346578690250157</v>
      </c>
      <c r="BB147" s="23">
        <f t="shared" si="101"/>
        <v>10.069315738050031</v>
      </c>
      <c r="BC147" s="23">
        <f t="shared" si="102"/>
        <v>0</v>
      </c>
      <c r="BD147" s="23">
        <f t="shared" si="103"/>
        <v>10.069315738050031</v>
      </c>
    </row>
    <row r="148" spans="1:56">
      <c r="A148" s="1" t="s">
        <v>20</v>
      </c>
      <c r="B148" s="1" t="s">
        <v>32</v>
      </c>
      <c r="C148" s="1" t="s">
        <v>22</v>
      </c>
      <c r="D148" s="1" t="s">
        <v>33</v>
      </c>
      <c r="E148" s="51" t="s">
        <v>107</v>
      </c>
      <c r="F148" s="51" t="s">
        <v>294</v>
      </c>
      <c r="G148" s="51" t="s">
        <v>109</v>
      </c>
      <c r="H148" s="51" t="s">
        <v>301</v>
      </c>
      <c r="I148" s="1" t="s">
        <v>111</v>
      </c>
      <c r="J148" s="51" t="s">
        <v>112</v>
      </c>
      <c r="K148" s="51" t="s">
        <v>112</v>
      </c>
      <c r="L148" s="51" t="s">
        <v>112</v>
      </c>
      <c r="M148" s="1">
        <v>1940568</v>
      </c>
      <c r="N148" s="51" t="s">
        <v>437</v>
      </c>
      <c r="O148" s="55">
        <f>DATE(2014,7,31)</f>
        <v>41851</v>
      </c>
      <c r="P148" s="55">
        <f>DATE(2017,7,31)</f>
        <v>42947</v>
      </c>
      <c r="Q148" s="51">
        <v>2705</v>
      </c>
      <c r="S148" s="51">
        <v>2</v>
      </c>
      <c r="U148" s="1">
        <f t="shared" si="74"/>
        <v>1097</v>
      </c>
      <c r="V148" s="31">
        <f t="shared" si="75"/>
        <v>2.4658158614402916</v>
      </c>
      <c r="W148" s="31">
        <f t="shared" si="76"/>
        <v>900.02278942570649</v>
      </c>
      <c r="X148" s="31">
        <f t="shared" si="77"/>
        <v>1.1250284867821332</v>
      </c>
      <c r="AA148" s="32">
        <f t="shared" si="78"/>
        <v>42552</v>
      </c>
      <c r="AB148" s="32">
        <f t="shared" si="79"/>
        <v>42735</v>
      </c>
      <c r="AC148" s="51">
        <v>16</v>
      </c>
      <c r="AD148" s="1">
        <f t="shared" si="80"/>
        <v>184</v>
      </c>
      <c r="AE148" s="1">
        <f t="shared" si="81"/>
        <v>0</v>
      </c>
      <c r="AF148" s="1">
        <f t="shared" si="82"/>
        <v>0</v>
      </c>
      <c r="AG148" s="1">
        <f t="shared" si="83"/>
        <v>0</v>
      </c>
      <c r="AH148" s="1">
        <f t="shared" si="84"/>
        <v>0</v>
      </c>
      <c r="AI148" s="23">
        <f t="shared" si="85"/>
        <v>1</v>
      </c>
      <c r="AJ148" s="23">
        <f t="shared" si="86"/>
        <v>1.1250284867821332</v>
      </c>
      <c r="AK148" s="23">
        <f t="shared" si="87"/>
        <v>18.000455788514131</v>
      </c>
      <c r="AL148" s="23">
        <f t="shared" si="88"/>
        <v>36.000911577028262</v>
      </c>
      <c r="AM148" s="23">
        <f t="shared" si="89"/>
        <v>0</v>
      </c>
      <c r="AN148" s="23">
        <f t="shared" si="90"/>
        <v>36.000911577028262</v>
      </c>
      <c r="AQ148" s="32">
        <f t="shared" si="91"/>
        <v>42736</v>
      </c>
      <c r="AR148" s="32">
        <f t="shared" si="92"/>
        <v>42916</v>
      </c>
      <c r="AS148" s="51">
        <v>16</v>
      </c>
      <c r="AT148" s="1">
        <f t="shared" si="93"/>
        <v>181</v>
      </c>
      <c r="AU148" s="1">
        <f t="shared" si="94"/>
        <v>0</v>
      </c>
      <c r="AV148" s="1">
        <f t="shared" si="95"/>
        <v>0</v>
      </c>
      <c r="AW148" s="1">
        <f t="shared" si="96"/>
        <v>0</v>
      </c>
      <c r="AX148" s="1">
        <f t="shared" si="97"/>
        <v>0</v>
      </c>
      <c r="AY148" s="23">
        <f t="shared" si="98"/>
        <v>1</v>
      </c>
      <c r="AZ148" s="23">
        <f t="shared" si="99"/>
        <v>1.1250284867821332</v>
      </c>
      <c r="BA148" s="23">
        <f t="shared" si="100"/>
        <v>18.000455788514131</v>
      </c>
      <c r="BB148" s="23">
        <f t="shared" si="101"/>
        <v>36.000911577028262</v>
      </c>
      <c r="BC148" s="23">
        <f t="shared" si="102"/>
        <v>0</v>
      </c>
      <c r="BD148" s="23">
        <f t="shared" si="103"/>
        <v>36.000911577028262</v>
      </c>
    </row>
    <row r="149" spans="1:56">
      <c r="A149" s="1" t="s">
        <v>20</v>
      </c>
      <c r="B149" s="1" t="s">
        <v>32</v>
      </c>
      <c r="C149" s="1" t="s">
        <v>22</v>
      </c>
      <c r="D149" s="1" t="s">
        <v>33</v>
      </c>
      <c r="E149" s="51" t="s">
        <v>107</v>
      </c>
      <c r="F149" s="51" t="s">
        <v>294</v>
      </c>
      <c r="G149" s="51" t="s">
        <v>109</v>
      </c>
      <c r="H149" s="51" t="s">
        <v>303</v>
      </c>
      <c r="I149" s="1" t="s">
        <v>128</v>
      </c>
      <c r="J149" s="51" t="s">
        <v>112</v>
      </c>
      <c r="K149" s="51" t="s">
        <v>112</v>
      </c>
      <c r="L149" s="51" t="s">
        <v>112</v>
      </c>
      <c r="M149" s="1">
        <v>1941614</v>
      </c>
      <c r="N149" s="50" t="s">
        <v>438</v>
      </c>
      <c r="O149" s="55">
        <f>DATE(2013,4,29)</f>
        <v>41393</v>
      </c>
      <c r="P149" s="55">
        <f>DATE(2016,4,30)</f>
        <v>42490</v>
      </c>
      <c r="Q149" s="51">
        <v>2720</v>
      </c>
      <c r="S149" s="51">
        <v>2.5</v>
      </c>
      <c r="U149" s="1">
        <f t="shared" si="74"/>
        <v>1098</v>
      </c>
      <c r="V149" s="31">
        <f t="shared" si="75"/>
        <v>2.4772313296903459</v>
      </c>
      <c r="W149" s="31">
        <f t="shared" si="76"/>
        <v>904.1894353369762</v>
      </c>
      <c r="X149" s="31">
        <f t="shared" si="77"/>
        <v>1.1302367941712204</v>
      </c>
      <c r="AA149" s="32">
        <f t="shared" si="78"/>
        <v>42552</v>
      </c>
      <c r="AB149" s="32">
        <f t="shared" si="79"/>
        <v>42735</v>
      </c>
      <c r="AC149" s="50">
        <v>10</v>
      </c>
      <c r="AD149" s="1">
        <f t="shared" si="80"/>
        <v>0</v>
      </c>
      <c r="AE149" s="1">
        <f t="shared" si="81"/>
        <v>0</v>
      </c>
      <c r="AF149" s="1">
        <f t="shared" si="82"/>
        <v>0</v>
      </c>
      <c r="AG149" s="1">
        <f t="shared" si="83"/>
        <v>0</v>
      </c>
      <c r="AH149" s="1">
        <f t="shared" si="84"/>
        <v>92</v>
      </c>
      <c r="AI149" s="23">
        <f t="shared" si="85"/>
        <v>0.5</v>
      </c>
      <c r="AJ149" s="23">
        <f t="shared" si="86"/>
        <v>0.56511839708561018</v>
      </c>
      <c r="AK149" s="23">
        <f t="shared" si="87"/>
        <v>2.8255919854280509</v>
      </c>
      <c r="AL149" s="23">
        <f t="shared" si="88"/>
        <v>7.0639799635701275</v>
      </c>
      <c r="AM149" s="23">
        <f t="shared" si="89"/>
        <v>0</v>
      </c>
      <c r="AN149" s="23">
        <f t="shared" si="90"/>
        <v>7.0639799635701275</v>
      </c>
      <c r="AQ149" s="32">
        <f t="shared" si="91"/>
        <v>42736</v>
      </c>
      <c r="AR149" s="32">
        <f t="shared" si="92"/>
        <v>42916</v>
      </c>
      <c r="AS149" s="50">
        <v>10</v>
      </c>
      <c r="AT149" s="1">
        <f t="shared" si="93"/>
        <v>0</v>
      </c>
      <c r="AU149" s="1">
        <f t="shared" si="94"/>
        <v>0</v>
      </c>
      <c r="AV149" s="1">
        <f t="shared" si="95"/>
        <v>0</v>
      </c>
      <c r="AW149" s="1">
        <f t="shared" si="96"/>
        <v>0</v>
      </c>
      <c r="AX149" s="1">
        <f t="shared" si="97"/>
        <v>90.5</v>
      </c>
      <c r="AY149" s="23">
        <f t="shared" si="98"/>
        <v>0.5</v>
      </c>
      <c r="AZ149" s="23">
        <f t="shared" si="99"/>
        <v>0.56511839708561018</v>
      </c>
      <c r="BA149" s="23">
        <f t="shared" si="100"/>
        <v>2.8255919854280509</v>
      </c>
      <c r="BB149" s="23">
        <f t="shared" si="101"/>
        <v>7.0639799635701275</v>
      </c>
      <c r="BC149" s="23">
        <f t="shared" si="102"/>
        <v>0</v>
      </c>
      <c r="BD149" s="23">
        <f t="shared" si="103"/>
        <v>7.0639799635701275</v>
      </c>
    </row>
    <row r="150" spans="1:56">
      <c r="A150" s="1" t="s">
        <v>20</v>
      </c>
      <c r="B150" s="1" t="s">
        <v>32</v>
      </c>
      <c r="C150" s="1" t="s">
        <v>22</v>
      </c>
      <c r="D150" s="1" t="s">
        <v>33</v>
      </c>
      <c r="E150" s="51" t="s">
        <v>107</v>
      </c>
      <c r="F150" s="51" t="s">
        <v>439</v>
      </c>
      <c r="G150" s="51" t="s">
        <v>109</v>
      </c>
      <c r="H150" s="51" t="s">
        <v>440</v>
      </c>
      <c r="I150" s="1" t="s">
        <v>234</v>
      </c>
      <c r="J150" s="51" t="s">
        <v>112</v>
      </c>
      <c r="K150" s="51" t="s">
        <v>112</v>
      </c>
      <c r="L150" s="51" t="s">
        <v>112</v>
      </c>
      <c r="M150" s="1">
        <v>1942264</v>
      </c>
      <c r="N150" s="56" t="s">
        <v>441</v>
      </c>
      <c r="O150" s="55">
        <f>DATE(2013,4,29)</f>
        <v>41393</v>
      </c>
      <c r="P150" s="55">
        <f>DATE(2014,4,30)</f>
        <v>41759</v>
      </c>
      <c r="Q150" s="51">
        <v>520</v>
      </c>
      <c r="S150" s="51">
        <v>1</v>
      </c>
      <c r="U150" s="1">
        <f t="shared" si="74"/>
        <v>367</v>
      </c>
      <c r="V150" s="31">
        <f t="shared" si="75"/>
        <v>1.4168937329700273</v>
      </c>
      <c r="W150" s="31">
        <f t="shared" si="76"/>
        <v>517.16621253405992</v>
      </c>
      <c r="X150" s="31">
        <f t="shared" si="77"/>
        <v>0.64645776566757496</v>
      </c>
      <c r="AA150" s="32">
        <f t="shared" si="78"/>
        <v>42552</v>
      </c>
      <c r="AB150" s="32">
        <f t="shared" si="79"/>
        <v>42735</v>
      </c>
      <c r="AC150" s="50">
        <v>22</v>
      </c>
      <c r="AD150" s="1">
        <f t="shared" si="80"/>
        <v>0</v>
      </c>
      <c r="AE150" s="1">
        <f t="shared" si="81"/>
        <v>0</v>
      </c>
      <c r="AF150" s="1">
        <f t="shared" si="82"/>
        <v>0</v>
      </c>
      <c r="AG150" s="1">
        <f t="shared" si="83"/>
        <v>0</v>
      </c>
      <c r="AH150" s="1">
        <f t="shared" si="84"/>
        <v>92</v>
      </c>
      <c r="AI150" s="23">
        <f t="shared" si="85"/>
        <v>0.5</v>
      </c>
      <c r="AJ150" s="23">
        <f t="shared" si="86"/>
        <v>0.32322888283378748</v>
      </c>
      <c r="AK150" s="23">
        <f t="shared" si="87"/>
        <v>3.555517711171662</v>
      </c>
      <c r="AL150" s="23">
        <f t="shared" si="88"/>
        <v>3.555517711171662</v>
      </c>
      <c r="AM150" s="23">
        <f t="shared" si="89"/>
        <v>0</v>
      </c>
      <c r="AN150" s="23">
        <f t="shared" si="90"/>
        <v>3.555517711171662</v>
      </c>
      <c r="AQ150" s="32">
        <f t="shared" si="91"/>
        <v>42736</v>
      </c>
      <c r="AR150" s="32">
        <f t="shared" si="92"/>
        <v>42916</v>
      </c>
      <c r="AS150" s="56">
        <v>0</v>
      </c>
      <c r="AT150" s="1">
        <f t="shared" si="93"/>
        <v>0</v>
      </c>
      <c r="AU150" s="1">
        <f t="shared" si="94"/>
        <v>0</v>
      </c>
      <c r="AV150" s="1">
        <f t="shared" si="95"/>
        <v>0</v>
      </c>
      <c r="AW150" s="1">
        <f t="shared" si="96"/>
        <v>0</v>
      </c>
      <c r="AX150" s="1">
        <f t="shared" si="97"/>
        <v>90.5</v>
      </c>
      <c r="AY150" s="23">
        <f t="shared" si="98"/>
        <v>0.5</v>
      </c>
      <c r="AZ150" s="23">
        <f t="shared" si="99"/>
        <v>0.32322888283378748</v>
      </c>
      <c r="BA150" s="23">
        <f t="shared" si="100"/>
        <v>0</v>
      </c>
      <c r="BB150" s="23">
        <f t="shared" si="101"/>
        <v>0</v>
      </c>
      <c r="BC150" s="23">
        <f t="shared" si="102"/>
        <v>0</v>
      </c>
      <c r="BD150" s="23">
        <f t="shared" si="103"/>
        <v>0</v>
      </c>
    </row>
    <row r="151" spans="1:56">
      <c r="A151" s="1" t="s">
        <v>20</v>
      </c>
      <c r="B151" s="1" t="s">
        <v>32</v>
      </c>
      <c r="C151" s="1" t="s">
        <v>22</v>
      </c>
      <c r="D151" s="1" t="s">
        <v>33</v>
      </c>
      <c r="E151" s="51" t="s">
        <v>107</v>
      </c>
      <c r="F151" s="51" t="s">
        <v>114</v>
      </c>
      <c r="G151" s="51" t="s">
        <v>109</v>
      </c>
      <c r="H151" s="51" t="s">
        <v>308</v>
      </c>
      <c r="I151" s="1" t="s">
        <v>309</v>
      </c>
      <c r="J151" s="51" t="s">
        <v>112</v>
      </c>
      <c r="K151" s="51" t="s">
        <v>112</v>
      </c>
      <c r="L151" s="51" t="s">
        <v>112</v>
      </c>
      <c r="M151" s="1">
        <v>1943539</v>
      </c>
      <c r="N151" s="50" t="s">
        <v>442</v>
      </c>
      <c r="O151" s="55">
        <f>DATE(2013,4,29)</f>
        <v>41393</v>
      </c>
      <c r="P151" s="55">
        <f>DATE(2016,4,30)</f>
        <v>42490</v>
      </c>
      <c r="Q151" s="51">
        <v>3080</v>
      </c>
      <c r="S151" s="51">
        <v>2.5</v>
      </c>
      <c r="U151" s="1">
        <f t="shared" si="74"/>
        <v>1098</v>
      </c>
      <c r="V151" s="31">
        <f t="shared" si="75"/>
        <v>2.8051001821493626</v>
      </c>
      <c r="W151" s="31">
        <f t="shared" si="76"/>
        <v>1023.8615664845173</v>
      </c>
      <c r="X151" s="31">
        <f t="shared" si="77"/>
        <v>1.2798269581056467</v>
      </c>
      <c r="AA151" s="32">
        <f t="shared" si="78"/>
        <v>42552</v>
      </c>
      <c r="AB151" s="32">
        <f t="shared" si="79"/>
        <v>42735</v>
      </c>
      <c r="AC151" s="50">
        <v>19</v>
      </c>
      <c r="AD151" s="1">
        <f t="shared" si="80"/>
        <v>0</v>
      </c>
      <c r="AE151" s="1">
        <f t="shared" si="81"/>
        <v>0</v>
      </c>
      <c r="AF151" s="1">
        <f t="shared" si="82"/>
        <v>0</v>
      </c>
      <c r="AG151" s="1">
        <f t="shared" si="83"/>
        <v>0</v>
      </c>
      <c r="AH151" s="1">
        <f t="shared" si="84"/>
        <v>92</v>
      </c>
      <c r="AI151" s="23">
        <f t="shared" si="85"/>
        <v>0.5</v>
      </c>
      <c r="AJ151" s="23">
        <f t="shared" si="86"/>
        <v>0.63991347905282336</v>
      </c>
      <c r="AK151" s="23">
        <f t="shared" si="87"/>
        <v>6.0791780510018221</v>
      </c>
      <c r="AL151" s="23">
        <f t="shared" si="88"/>
        <v>15.197945127504555</v>
      </c>
      <c r="AM151" s="23">
        <f t="shared" si="89"/>
        <v>0</v>
      </c>
      <c r="AN151" s="23">
        <f t="shared" si="90"/>
        <v>15.197945127504555</v>
      </c>
      <c r="AQ151" s="32">
        <f t="shared" si="91"/>
        <v>42736</v>
      </c>
      <c r="AR151" s="32">
        <f t="shared" si="92"/>
        <v>42916</v>
      </c>
      <c r="AS151" s="50">
        <v>18</v>
      </c>
      <c r="AT151" s="1">
        <f t="shared" si="93"/>
        <v>0</v>
      </c>
      <c r="AU151" s="1">
        <f t="shared" si="94"/>
        <v>0</v>
      </c>
      <c r="AV151" s="1">
        <f t="shared" si="95"/>
        <v>0</v>
      </c>
      <c r="AW151" s="1">
        <f t="shared" si="96"/>
        <v>0</v>
      </c>
      <c r="AX151" s="1">
        <f t="shared" si="97"/>
        <v>90.5</v>
      </c>
      <c r="AY151" s="23">
        <f t="shared" si="98"/>
        <v>0.5</v>
      </c>
      <c r="AZ151" s="23">
        <f t="shared" si="99"/>
        <v>0.63991347905282336</v>
      </c>
      <c r="BA151" s="23">
        <f t="shared" si="100"/>
        <v>5.7592213114754101</v>
      </c>
      <c r="BB151" s="23">
        <f t="shared" si="101"/>
        <v>14.398053278688526</v>
      </c>
      <c r="BC151" s="23">
        <f t="shared" si="102"/>
        <v>0</v>
      </c>
      <c r="BD151" s="23">
        <f t="shared" si="103"/>
        <v>14.398053278688526</v>
      </c>
    </row>
    <row r="152" spans="1:56">
      <c r="A152" s="1" t="s">
        <v>20</v>
      </c>
      <c r="B152" s="1" t="s">
        <v>32</v>
      </c>
      <c r="C152" s="1" t="s">
        <v>22</v>
      </c>
      <c r="D152" s="1" t="s">
        <v>33</v>
      </c>
      <c r="E152" s="51" t="s">
        <v>107</v>
      </c>
      <c r="F152" s="51" t="s">
        <v>439</v>
      </c>
      <c r="G152" s="51" t="s">
        <v>109</v>
      </c>
      <c r="H152" s="51" t="s">
        <v>443</v>
      </c>
      <c r="I152" s="1" t="s">
        <v>116</v>
      </c>
      <c r="J152" s="51" t="s">
        <v>112</v>
      </c>
      <c r="K152" s="51" t="s">
        <v>112</v>
      </c>
      <c r="L152" s="51" t="s">
        <v>112</v>
      </c>
      <c r="M152" s="1">
        <v>1944068</v>
      </c>
      <c r="N152" s="50" t="s">
        <v>444</v>
      </c>
      <c r="O152" s="55">
        <f>DATE(2013,10,16)</f>
        <v>41563</v>
      </c>
      <c r="P152" s="55">
        <f>DATE(2014,4,30)</f>
        <v>41759</v>
      </c>
      <c r="Q152" s="51">
        <v>420</v>
      </c>
      <c r="S152" s="51">
        <v>1</v>
      </c>
      <c r="U152" s="1">
        <f t="shared" si="74"/>
        <v>197</v>
      </c>
      <c r="V152" s="31">
        <f t="shared" si="75"/>
        <v>2.1319796954314723</v>
      </c>
      <c r="W152" s="31">
        <f t="shared" si="76"/>
        <v>420</v>
      </c>
      <c r="X152" s="31">
        <f t="shared" si="77"/>
        <v>0.52500000000000002</v>
      </c>
      <c r="AA152" s="32">
        <f t="shared" si="78"/>
        <v>42552</v>
      </c>
      <c r="AB152" s="32">
        <f t="shared" si="79"/>
        <v>42735</v>
      </c>
      <c r="AC152" s="50">
        <v>40</v>
      </c>
      <c r="AD152" s="1">
        <f t="shared" si="80"/>
        <v>0</v>
      </c>
      <c r="AE152" s="1">
        <f t="shared" si="81"/>
        <v>0</v>
      </c>
      <c r="AF152" s="1">
        <f t="shared" si="82"/>
        <v>0</v>
      </c>
      <c r="AG152" s="1">
        <f t="shared" si="83"/>
        <v>0</v>
      </c>
      <c r="AH152" s="1">
        <f t="shared" si="84"/>
        <v>92</v>
      </c>
      <c r="AI152" s="23">
        <f t="shared" si="85"/>
        <v>0.5</v>
      </c>
      <c r="AJ152" s="23">
        <f t="shared" si="86"/>
        <v>0.26250000000000001</v>
      </c>
      <c r="AK152" s="23">
        <f t="shared" si="87"/>
        <v>5.25</v>
      </c>
      <c r="AL152" s="23">
        <f t="shared" si="88"/>
        <v>5.25</v>
      </c>
      <c r="AM152" s="23">
        <f t="shared" si="89"/>
        <v>0</v>
      </c>
      <c r="AN152" s="23">
        <f t="shared" si="90"/>
        <v>5.25</v>
      </c>
      <c r="AQ152" s="32">
        <f t="shared" si="91"/>
        <v>42736</v>
      </c>
      <c r="AR152" s="32">
        <f t="shared" si="92"/>
        <v>42916</v>
      </c>
      <c r="AS152" s="50">
        <v>19</v>
      </c>
      <c r="AT152" s="1">
        <f t="shared" si="93"/>
        <v>0</v>
      </c>
      <c r="AU152" s="1">
        <f t="shared" si="94"/>
        <v>0</v>
      </c>
      <c r="AV152" s="1">
        <f t="shared" si="95"/>
        <v>0</v>
      </c>
      <c r="AW152" s="1">
        <f t="shared" si="96"/>
        <v>0</v>
      </c>
      <c r="AX152" s="1">
        <f t="shared" si="97"/>
        <v>90.5</v>
      </c>
      <c r="AY152" s="23">
        <f t="shared" si="98"/>
        <v>0.5</v>
      </c>
      <c r="AZ152" s="23">
        <f t="shared" si="99"/>
        <v>0.26250000000000001</v>
      </c>
      <c r="BA152" s="23">
        <f t="shared" si="100"/>
        <v>2.4937499999999999</v>
      </c>
      <c r="BB152" s="23">
        <f t="shared" si="101"/>
        <v>2.4937499999999999</v>
      </c>
      <c r="BC152" s="23">
        <f t="shared" si="102"/>
        <v>0</v>
      </c>
      <c r="BD152" s="23">
        <f t="shared" si="103"/>
        <v>2.4937499999999999</v>
      </c>
    </row>
    <row r="153" spans="1:56">
      <c r="A153" s="1" t="s">
        <v>20</v>
      </c>
      <c r="B153" s="1" t="s">
        <v>32</v>
      </c>
      <c r="C153" s="1" t="s">
        <v>22</v>
      </c>
      <c r="D153" s="1" t="s">
        <v>33</v>
      </c>
      <c r="E153" s="51" t="s">
        <v>154</v>
      </c>
      <c r="F153" s="51" t="s">
        <v>108</v>
      </c>
      <c r="G153" s="51" t="s">
        <v>109</v>
      </c>
      <c r="H153" s="51" t="s">
        <v>110</v>
      </c>
      <c r="I153" s="1" t="s">
        <v>111</v>
      </c>
      <c r="J153" s="51" t="s">
        <v>112</v>
      </c>
      <c r="K153" s="51" t="s">
        <v>112</v>
      </c>
      <c r="L153" s="51" t="s">
        <v>148</v>
      </c>
      <c r="M153" s="1">
        <v>1946229</v>
      </c>
      <c r="N153" s="50" t="s">
        <v>160</v>
      </c>
      <c r="O153" s="55">
        <f>DATE(2012,3,1)</f>
        <v>40969</v>
      </c>
      <c r="P153" s="55">
        <f>DATE(2014,12,31)</f>
        <v>42004</v>
      </c>
      <c r="Q153" s="51">
        <v>1000</v>
      </c>
      <c r="S153" s="51">
        <v>2</v>
      </c>
      <c r="U153" s="1">
        <f t="shared" si="74"/>
        <v>1036</v>
      </c>
      <c r="V153" s="31">
        <f t="shared" si="75"/>
        <v>0.96525096525096521</v>
      </c>
      <c r="W153" s="31">
        <f t="shared" si="76"/>
        <v>352.31660231660231</v>
      </c>
      <c r="X153" s="31">
        <f t="shared" si="77"/>
        <v>0.44039575289575289</v>
      </c>
      <c r="AA153" s="32">
        <f t="shared" si="78"/>
        <v>42552</v>
      </c>
      <c r="AB153" s="32">
        <f t="shared" si="79"/>
        <v>42735</v>
      </c>
      <c r="AC153" s="50">
        <v>3</v>
      </c>
      <c r="AD153" s="1">
        <f t="shared" si="80"/>
        <v>0</v>
      </c>
      <c r="AE153" s="1">
        <f t="shared" si="81"/>
        <v>0</v>
      </c>
      <c r="AF153" s="1">
        <f t="shared" si="82"/>
        <v>0</v>
      </c>
      <c r="AG153" s="1">
        <f t="shared" si="83"/>
        <v>0</v>
      </c>
      <c r="AH153" s="1">
        <f t="shared" si="84"/>
        <v>92</v>
      </c>
      <c r="AI153" s="23">
        <f t="shared" si="85"/>
        <v>0.5</v>
      </c>
      <c r="AJ153" s="23">
        <f t="shared" si="86"/>
        <v>0.22019787644787644</v>
      </c>
      <c r="AK153" s="23">
        <f t="shared" si="87"/>
        <v>0.33029681467181465</v>
      </c>
      <c r="AL153" s="23">
        <f t="shared" si="88"/>
        <v>0.66059362934362931</v>
      </c>
      <c r="AM153" s="23">
        <f t="shared" si="89"/>
        <v>0</v>
      </c>
      <c r="AN153" s="23">
        <f t="shared" si="90"/>
        <v>0.66059362934362931</v>
      </c>
      <c r="AQ153" s="32">
        <f t="shared" si="91"/>
        <v>42736</v>
      </c>
      <c r="AR153" s="32">
        <f t="shared" si="92"/>
        <v>42916</v>
      </c>
      <c r="AS153" s="50">
        <v>3</v>
      </c>
      <c r="AT153" s="1">
        <f t="shared" si="93"/>
        <v>0</v>
      </c>
      <c r="AU153" s="1">
        <f t="shared" si="94"/>
        <v>0</v>
      </c>
      <c r="AV153" s="1">
        <f t="shared" si="95"/>
        <v>0</v>
      </c>
      <c r="AW153" s="1">
        <f t="shared" si="96"/>
        <v>0</v>
      </c>
      <c r="AX153" s="1">
        <f t="shared" si="97"/>
        <v>90.5</v>
      </c>
      <c r="AY153" s="23">
        <f t="shared" si="98"/>
        <v>0.5</v>
      </c>
      <c r="AZ153" s="23">
        <f t="shared" si="99"/>
        <v>0.22019787644787644</v>
      </c>
      <c r="BA153" s="23">
        <f t="shared" si="100"/>
        <v>0.33029681467181465</v>
      </c>
      <c r="BB153" s="23">
        <f t="shared" si="101"/>
        <v>0.66059362934362931</v>
      </c>
      <c r="BC153" s="23">
        <f t="shared" si="102"/>
        <v>0</v>
      </c>
      <c r="BD153" s="23">
        <f t="shared" si="103"/>
        <v>0.66059362934362931</v>
      </c>
    </row>
    <row r="154" spans="1:56">
      <c r="A154" s="1" t="s">
        <v>20</v>
      </c>
      <c r="B154" s="1" t="s">
        <v>32</v>
      </c>
      <c r="C154" s="1" t="s">
        <v>22</v>
      </c>
      <c r="D154" s="1" t="s">
        <v>33</v>
      </c>
      <c r="E154" s="51" t="s">
        <v>154</v>
      </c>
      <c r="F154" s="51" t="s">
        <v>108</v>
      </c>
      <c r="G154" s="51" t="s">
        <v>109</v>
      </c>
      <c r="H154" s="51" t="s">
        <v>179</v>
      </c>
      <c r="I154" s="1" t="s">
        <v>125</v>
      </c>
      <c r="J154" s="51" t="s">
        <v>112</v>
      </c>
      <c r="K154" s="51" t="s">
        <v>112</v>
      </c>
      <c r="L154" s="51" t="s">
        <v>148</v>
      </c>
      <c r="M154" s="1">
        <v>1946233</v>
      </c>
      <c r="N154" s="50" t="s">
        <v>445</v>
      </c>
      <c r="O154" s="55">
        <f>DATE(2012,3,1)</f>
        <v>40969</v>
      </c>
      <c r="P154" s="55">
        <f>DATE(2014,12,31)</f>
        <v>42004</v>
      </c>
      <c r="Q154" s="51">
        <v>1200</v>
      </c>
      <c r="S154" s="51">
        <v>2</v>
      </c>
      <c r="U154" s="1">
        <f t="shared" si="74"/>
        <v>1036</v>
      </c>
      <c r="V154" s="31">
        <f t="shared" si="75"/>
        <v>1.1583011583011582</v>
      </c>
      <c r="W154" s="31">
        <f t="shared" si="76"/>
        <v>422.77992277992274</v>
      </c>
      <c r="X154" s="31">
        <f t="shared" si="77"/>
        <v>0.52847490347490345</v>
      </c>
      <c r="AA154" s="32">
        <f t="shared" si="78"/>
        <v>42552</v>
      </c>
      <c r="AB154" s="32">
        <f t="shared" si="79"/>
        <v>42735</v>
      </c>
      <c r="AC154" s="50">
        <v>7</v>
      </c>
      <c r="AD154" s="1">
        <f t="shared" si="80"/>
        <v>0</v>
      </c>
      <c r="AE154" s="1">
        <f t="shared" si="81"/>
        <v>0</v>
      </c>
      <c r="AF154" s="1">
        <f t="shared" si="82"/>
        <v>0</v>
      </c>
      <c r="AG154" s="1">
        <f t="shared" si="83"/>
        <v>0</v>
      </c>
      <c r="AH154" s="1">
        <f t="shared" si="84"/>
        <v>92</v>
      </c>
      <c r="AI154" s="23">
        <f t="shared" si="85"/>
        <v>0.5</v>
      </c>
      <c r="AJ154" s="23">
        <f t="shared" si="86"/>
        <v>0.26423745173745172</v>
      </c>
      <c r="AK154" s="23">
        <f t="shared" si="87"/>
        <v>0.92483108108108103</v>
      </c>
      <c r="AL154" s="23">
        <f t="shared" si="88"/>
        <v>1.8496621621621621</v>
      </c>
      <c r="AM154" s="23">
        <f t="shared" si="89"/>
        <v>0</v>
      </c>
      <c r="AN154" s="23">
        <f t="shared" si="90"/>
        <v>1.8496621621621621</v>
      </c>
      <c r="AQ154" s="32">
        <f t="shared" si="91"/>
        <v>42736</v>
      </c>
      <c r="AR154" s="32">
        <f t="shared" si="92"/>
        <v>42916</v>
      </c>
      <c r="AS154" s="50">
        <v>7</v>
      </c>
      <c r="AT154" s="1">
        <f t="shared" si="93"/>
        <v>0</v>
      </c>
      <c r="AU154" s="1">
        <f t="shared" si="94"/>
        <v>0</v>
      </c>
      <c r="AV154" s="1">
        <f t="shared" si="95"/>
        <v>0</v>
      </c>
      <c r="AW154" s="1">
        <f t="shared" si="96"/>
        <v>0</v>
      </c>
      <c r="AX154" s="1">
        <f t="shared" si="97"/>
        <v>90.5</v>
      </c>
      <c r="AY154" s="23">
        <f t="shared" si="98"/>
        <v>0.5</v>
      </c>
      <c r="AZ154" s="23">
        <f t="shared" si="99"/>
        <v>0.26423745173745172</v>
      </c>
      <c r="BA154" s="23">
        <f t="shared" si="100"/>
        <v>0.92483108108108103</v>
      </c>
      <c r="BB154" s="23">
        <f t="shared" si="101"/>
        <v>1.8496621621621621</v>
      </c>
      <c r="BC154" s="23">
        <f t="shared" si="102"/>
        <v>0</v>
      </c>
      <c r="BD154" s="23">
        <f t="shared" si="103"/>
        <v>1.8496621621621621</v>
      </c>
    </row>
    <row r="155" spans="1:56">
      <c r="A155" s="1" t="s">
        <v>20</v>
      </c>
      <c r="B155" s="1" t="s">
        <v>32</v>
      </c>
      <c r="C155" s="1" t="s">
        <v>22</v>
      </c>
      <c r="D155" s="1" t="s">
        <v>33</v>
      </c>
      <c r="E155" s="51" t="s">
        <v>154</v>
      </c>
      <c r="F155" s="51" t="s">
        <v>108</v>
      </c>
      <c r="G155" s="51" t="s">
        <v>109</v>
      </c>
      <c r="H155" s="51" t="s">
        <v>156</v>
      </c>
      <c r="I155" s="1" t="s">
        <v>128</v>
      </c>
      <c r="J155" s="51" t="s">
        <v>112</v>
      </c>
      <c r="K155" s="51" t="s">
        <v>112</v>
      </c>
      <c r="L155" s="51" t="s">
        <v>148</v>
      </c>
      <c r="M155" s="1">
        <v>1946757</v>
      </c>
      <c r="N155" s="50" t="s">
        <v>157</v>
      </c>
      <c r="O155" s="55">
        <f>DATE(2012,3,1)</f>
        <v>40969</v>
      </c>
      <c r="P155" s="55">
        <f>DATE(2014,12,31)</f>
        <v>42004</v>
      </c>
      <c r="Q155" s="51">
        <v>1200</v>
      </c>
      <c r="S155" s="51">
        <v>2.5</v>
      </c>
      <c r="U155" s="1">
        <f t="shared" si="74"/>
        <v>1036</v>
      </c>
      <c r="V155" s="31">
        <f t="shared" si="75"/>
        <v>1.1583011583011582</v>
      </c>
      <c r="W155" s="31">
        <f t="shared" si="76"/>
        <v>422.77992277992274</v>
      </c>
      <c r="X155" s="31">
        <f t="shared" si="77"/>
        <v>0.52847490347490345</v>
      </c>
      <c r="AA155" s="32">
        <f t="shared" si="78"/>
        <v>42552</v>
      </c>
      <c r="AB155" s="32">
        <f t="shared" si="79"/>
        <v>42735</v>
      </c>
      <c r="AC155" s="50">
        <v>1</v>
      </c>
      <c r="AD155" s="1">
        <f t="shared" si="80"/>
        <v>0</v>
      </c>
      <c r="AE155" s="1">
        <f t="shared" si="81"/>
        <v>0</v>
      </c>
      <c r="AF155" s="1">
        <f t="shared" si="82"/>
        <v>0</v>
      </c>
      <c r="AG155" s="1">
        <f t="shared" si="83"/>
        <v>0</v>
      </c>
      <c r="AH155" s="1">
        <f t="shared" si="84"/>
        <v>92</v>
      </c>
      <c r="AI155" s="23">
        <f t="shared" si="85"/>
        <v>0.5</v>
      </c>
      <c r="AJ155" s="23">
        <f t="shared" si="86"/>
        <v>0.26423745173745172</v>
      </c>
      <c r="AK155" s="23">
        <f t="shared" si="87"/>
        <v>0.13211872586872586</v>
      </c>
      <c r="AL155" s="23">
        <f t="shared" si="88"/>
        <v>0.33029681467181465</v>
      </c>
      <c r="AM155" s="23">
        <f t="shared" si="89"/>
        <v>0</v>
      </c>
      <c r="AN155" s="23">
        <f t="shared" si="90"/>
        <v>0.33029681467181465</v>
      </c>
      <c r="AQ155" s="32">
        <f t="shared" si="91"/>
        <v>42736</v>
      </c>
      <c r="AR155" s="32">
        <f t="shared" si="92"/>
        <v>42916</v>
      </c>
      <c r="AS155" s="50">
        <v>1</v>
      </c>
      <c r="AT155" s="1">
        <f t="shared" si="93"/>
        <v>0</v>
      </c>
      <c r="AU155" s="1">
        <f t="shared" si="94"/>
        <v>0</v>
      </c>
      <c r="AV155" s="1">
        <f t="shared" si="95"/>
        <v>0</v>
      </c>
      <c r="AW155" s="1">
        <f t="shared" si="96"/>
        <v>0</v>
      </c>
      <c r="AX155" s="1">
        <f t="shared" si="97"/>
        <v>90.5</v>
      </c>
      <c r="AY155" s="23">
        <f t="shared" si="98"/>
        <v>0.5</v>
      </c>
      <c r="AZ155" s="23">
        <f t="shared" si="99"/>
        <v>0.26423745173745172</v>
      </c>
      <c r="BA155" s="23">
        <f t="shared" si="100"/>
        <v>0.13211872586872586</v>
      </c>
      <c r="BB155" s="23">
        <f t="shared" si="101"/>
        <v>0.33029681467181465</v>
      </c>
      <c r="BC155" s="23">
        <f t="shared" si="102"/>
        <v>0</v>
      </c>
      <c r="BD155" s="23">
        <f t="shared" si="103"/>
        <v>0.33029681467181465</v>
      </c>
    </row>
    <row r="156" spans="1:56">
      <c r="A156" s="1" t="s">
        <v>20</v>
      </c>
      <c r="B156" s="1" t="s">
        <v>32</v>
      </c>
      <c r="C156" s="1" t="s">
        <v>22</v>
      </c>
      <c r="D156" s="1" t="s">
        <v>33</v>
      </c>
      <c r="E156" s="51" t="s">
        <v>107</v>
      </c>
      <c r="F156" s="51" t="s">
        <v>114</v>
      </c>
      <c r="G156" s="51" t="s">
        <v>109</v>
      </c>
      <c r="H156" s="51" t="s">
        <v>317</v>
      </c>
      <c r="I156" s="1" t="s">
        <v>116</v>
      </c>
      <c r="J156" s="51" t="s">
        <v>112</v>
      </c>
      <c r="K156" s="51" t="s">
        <v>112</v>
      </c>
      <c r="L156" s="51" t="s">
        <v>112</v>
      </c>
      <c r="M156" s="1">
        <v>1966556</v>
      </c>
      <c r="N156" s="51" t="s">
        <v>446</v>
      </c>
      <c r="O156" s="55">
        <f>DATE(2014,3,31)</f>
        <v>41729</v>
      </c>
      <c r="P156" s="55">
        <f>DATE(2017,3,31)</f>
        <v>42825</v>
      </c>
      <c r="Q156" s="51">
        <v>3200</v>
      </c>
      <c r="S156" s="51">
        <v>2.5</v>
      </c>
      <c r="U156" s="1">
        <f t="shared" si="74"/>
        <v>1097</v>
      </c>
      <c r="V156" s="31">
        <f t="shared" si="75"/>
        <v>2.917046490428441</v>
      </c>
      <c r="W156" s="31">
        <f t="shared" si="76"/>
        <v>1064.721969006381</v>
      </c>
      <c r="X156" s="31">
        <f t="shared" si="77"/>
        <v>1.3309024612579763</v>
      </c>
      <c r="AA156" s="32">
        <f t="shared" si="78"/>
        <v>42552</v>
      </c>
      <c r="AB156" s="32">
        <f t="shared" si="79"/>
        <v>42735</v>
      </c>
      <c r="AC156" s="51">
        <v>17</v>
      </c>
      <c r="AD156" s="1">
        <f t="shared" si="80"/>
        <v>184</v>
      </c>
      <c r="AE156" s="1">
        <f t="shared" si="81"/>
        <v>0</v>
      </c>
      <c r="AF156" s="1">
        <f t="shared" si="82"/>
        <v>0</v>
      </c>
      <c r="AG156" s="1">
        <f t="shared" si="83"/>
        <v>0</v>
      </c>
      <c r="AH156" s="1">
        <f t="shared" si="84"/>
        <v>0</v>
      </c>
      <c r="AI156" s="23">
        <f t="shared" si="85"/>
        <v>1</v>
      </c>
      <c r="AJ156" s="23">
        <f t="shared" si="86"/>
        <v>1.3309024612579763</v>
      </c>
      <c r="AK156" s="23">
        <f t="shared" si="87"/>
        <v>22.625341841385598</v>
      </c>
      <c r="AL156" s="23">
        <f t="shared" si="88"/>
        <v>56.563354603463992</v>
      </c>
      <c r="AM156" s="23">
        <f t="shared" si="89"/>
        <v>0</v>
      </c>
      <c r="AN156" s="23">
        <f t="shared" si="90"/>
        <v>56.563354603463992</v>
      </c>
      <c r="AQ156" s="32">
        <f t="shared" si="91"/>
        <v>42736</v>
      </c>
      <c r="AR156" s="32">
        <f t="shared" si="92"/>
        <v>42916</v>
      </c>
      <c r="AS156" s="51">
        <v>17</v>
      </c>
      <c r="AT156" s="1">
        <f t="shared" si="93"/>
        <v>0</v>
      </c>
      <c r="AU156" s="1">
        <f t="shared" si="94"/>
        <v>0</v>
      </c>
      <c r="AV156" s="1">
        <f t="shared" si="95"/>
        <v>90</v>
      </c>
      <c r="AW156" s="1">
        <f t="shared" si="96"/>
        <v>0</v>
      </c>
      <c r="AX156" s="1">
        <f t="shared" si="97"/>
        <v>0</v>
      </c>
      <c r="AY156" s="23">
        <f t="shared" si="98"/>
        <v>0.49723756906077349</v>
      </c>
      <c r="AZ156" s="23">
        <f t="shared" si="99"/>
        <v>0.66177470449291642</v>
      </c>
      <c r="BA156" s="23">
        <f t="shared" si="100"/>
        <v>11.250169976379579</v>
      </c>
      <c r="BB156" s="23">
        <f t="shared" si="101"/>
        <v>28.12542494094895</v>
      </c>
      <c r="BC156" s="23">
        <f t="shared" si="102"/>
        <v>0</v>
      </c>
      <c r="BD156" s="23">
        <f t="shared" si="103"/>
        <v>28.12542494094895</v>
      </c>
    </row>
    <row r="157" spans="1:56">
      <c r="A157" s="1" t="s">
        <v>20</v>
      </c>
      <c r="B157" s="1" t="s">
        <v>32</v>
      </c>
      <c r="C157" s="1" t="s">
        <v>22</v>
      </c>
      <c r="D157" s="1" t="s">
        <v>33</v>
      </c>
      <c r="E157" s="51" t="s">
        <v>107</v>
      </c>
      <c r="F157" s="51" t="s">
        <v>114</v>
      </c>
      <c r="G157" s="51" t="s">
        <v>109</v>
      </c>
      <c r="H157" s="51" t="s">
        <v>315</v>
      </c>
      <c r="I157" s="1" t="s">
        <v>147</v>
      </c>
      <c r="J157" s="51" t="s">
        <v>112</v>
      </c>
      <c r="K157" s="51" t="s">
        <v>112</v>
      </c>
      <c r="L157" s="51" t="s">
        <v>112</v>
      </c>
      <c r="M157" s="1">
        <v>1966557</v>
      </c>
      <c r="N157" s="51" t="s">
        <v>447</v>
      </c>
      <c r="O157" s="55">
        <f>DATE(2014,3,31)</f>
        <v>41729</v>
      </c>
      <c r="P157" s="55">
        <f>DATE(2017,3,31)</f>
        <v>42825</v>
      </c>
      <c r="Q157" s="51">
        <v>3240</v>
      </c>
      <c r="S157" s="51">
        <v>2.5</v>
      </c>
      <c r="U157" s="1">
        <f t="shared" si="74"/>
        <v>1097</v>
      </c>
      <c r="V157" s="31">
        <f t="shared" si="75"/>
        <v>2.9535095715587967</v>
      </c>
      <c r="W157" s="31">
        <f t="shared" si="76"/>
        <v>1078.0309936189608</v>
      </c>
      <c r="X157" s="31">
        <f t="shared" si="77"/>
        <v>1.3475387420237011</v>
      </c>
      <c r="AA157" s="32">
        <f t="shared" si="78"/>
        <v>42552</v>
      </c>
      <c r="AB157" s="32">
        <f t="shared" si="79"/>
        <v>42735</v>
      </c>
      <c r="AC157" s="51">
        <v>27</v>
      </c>
      <c r="AD157" s="1">
        <f t="shared" si="80"/>
        <v>184</v>
      </c>
      <c r="AE157" s="1">
        <f t="shared" si="81"/>
        <v>0</v>
      </c>
      <c r="AF157" s="1">
        <f t="shared" si="82"/>
        <v>0</v>
      </c>
      <c r="AG157" s="1">
        <f t="shared" si="83"/>
        <v>0</v>
      </c>
      <c r="AH157" s="1">
        <f t="shared" si="84"/>
        <v>0</v>
      </c>
      <c r="AI157" s="23">
        <f t="shared" si="85"/>
        <v>1</v>
      </c>
      <c r="AJ157" s="23">
        <f t="shared" si="86"/>
        <v>1.3475387420237011</v>
      </c>
      <c r="AK157" s="23">
        <f t="shared" si="87"/>
        <v>36.383546034639927</v>
      </c>
      <c r="AL157" s="23">
        <f t="shared" si="88"/>
        <v>90.958865086599815</v>
      </c>
      <c r="AM157" s="23">
        <f t="shared" si="89"/>
        <v>0</v>
      </c>
      <c r="AN157" s="23">
        <f t="shared" si="90"/>
        <v>90.958865086599815</v>
      </c>
      <c r="AQ157" s="32">
        <f t="shared" si="91"/>
        <v>42736</v>
      </c>
      <c r="AR157" s="32">
        <f t="shared" si="92"/>
        <v>42916</v>
      </c>
      <c r="AS157" s="51">
        <v>27</v>
      </c>
      <c r="AT157" s="1">
        <f t="shared" si="93"/>
        <v>0</v>
      </c>
      <c r="AU157" s="1">
        <f t="shared" si="94"/>
        <v>0</v>
      </c>
      <c r="AV157" s="1">
        <f t="shared" si="95"/>
        <v>90</v>
      </c>
      <c r="AW157" s="1">
        <f t="shared" si="96"/>
        <v>0</v>
      </c>
      <c r="AX157" s="1">
        <f t="shared" si="97"/>
        <v>0</v>
      </c>
      <c r="AY157" s="23">
        <f t="shared" si="98"/>
        <v>0.49723756906077349</v>
      </c>
      <c r="AZ157" s="23">
        <f t="shared" si="99"/>
        <v>0.67004688829907788</v>
      </c>
      <c r="BA157" s="23">
        <f t="shared" si="100"/>
        <v>18.091265984075104</v>
      </c>
      <c r="BB157" s="23">
        <f t="shared" si="101"/>
        <v>45.228164960187762</v>
      </c>
      <c r="BC157" s="23">
        <f t="shared" si="102"/>
        <v>0</v>
      </c>
      <c r="BD157" s="23">
        <f t="shared" si="103"/>
        <v>45.228164960187762</v>
      </c>
    </row>
    <row r="158" spans="1:56">
      <c r="A158" s="1" t="s">
        <v>20</v>
      </c>
      <c r="B158" s="1" t="s">
        <v>32</v>
      </c>
      <c r="C158" s="1" t="s">
        <v>22</v>
      </c>
      <c r="D158" s="1" t="s">
        <v>33</v>
      </c>
      <c r="E158" s="51" t="s">
        <v>107</v>
      </c>
      <c r="F158" s="51" t="s">
        <v>114</v>
      </c>
      <c r="G158" s="51" t="s">
        <v>109</v>
      </c>
      <c r="H158" s="51" t="s">
        <v>317</v>
      </c>
      <c r="I158" s="1" t="s">
        <v>116</v>
      </c>
      <c r="J158" s="51" t="s">
        <v>112</v>
      </c>
      <c r="K158" s="51" t="s">
        <v>112</v>
      </c>
      <c r="L158" s="51" t="s">
        <v>112</v>
      </c>
      <c r="M158" s="1">
        <v>1966558</v>
      </c>
      <c r="N158" s="50" t="s">
        <v>448</v>
      </c>
      <c r="O158" s="55">
        <f>DATE(2013,4,29)</f>
        <v>41393</v>
      </c>
      <c r="P158" s="55">
        <f>DATE(2016,4,30)</f>
        <v>42490</v>
      </c>
      <c r="Q158" s="51">
        <v>3200</v>
      </c>
      <c r="S158" s="51">
        <v>2.5</v>
      </c>
      <c r="U158" s="1">
        <f t="shared" si="74"/>
        <v>1098</v>
      </c>
      <c r="V158" s="31">
        <f t="shared" si="75"/>
        <v>2.9143897996357011</v>
      </c>
      <c r="W158" s="31">
        <f t="shared" si="76"/>
        <v>1063.752276867031</v>
      </c>
      <c r="X158" s="31">
        <f t="shared" si="77"/>
        <v>1.3296903460837888</v>
      </c>
      <c r="AA158" s="32">
        <f t="shared" si="78"/>
        <v>42552</v>
      </c>
      <c r="AB158" s="32">
        <f t="shared" si="79"/>
        <v>42735</v>
      </c>
      <c r="AC158" s="50">
        <v>12</v>
      </c>
      <c r="AD158" s="1">
        <f t="shared" si="80"/>
        <v>0</v>
      </c>
      <c r="AE158" s="1">
        <f t="shared" si="81"/>
        <v>0</v>
      </c>
      <c r="AF158" s="1">
        <f t="shared" si="82"/>
        <v>0</v>
      </c>
      <c r="AG158" s="1">
        <f t="shared" si="83"/>
        <v>0</v>
      </c>
      <c r="AH158" s="1">
        <f t="shared" si="84"/>
        <v>92</v>
      </c>
      <c r="AI158" s="23">
        <f t="shared" si="85"/>
        <v>0.5</v>
      </c>
      <c r="AJ158" s="23">
        <f t="shared" si="86"/>
        <v>0.66484517304189439</v>
      </c>
      <c r="AK158" s="23">
        <f t="shared" si="87"/>
        <v>3.9890710382513666</v>
      </c>
      <c r="AL158" s="23">
        <f t="shared" si="88"/>
        <v>9.9726775956284168</v>
      </c>
      <c r="AM158" s="23">
        <f t="shared" si="89"/>
        <v>0</v>
      </c>
      <c r="AN158" s="23">
        <f t="shared" si="90"/>
        <v>9.9726775956284168</v>
      </c>
      <c r="AQ158" s="32">
        <f t="shared" si="91"/>
        <v>42736</v>
      </c>
      <c r="AR158" s="32">
        <f t="shared" si="92"/>
        <v>42916</v>
      </c>
      <c r="AS158" s="50">
        <v>12</v>
      </c>
      <c r="AT158" s="1">
        <f t="shared" si="93"/>
        <v>0</v>
      </c>
      <c r="AU158" s="1">
        <f t="shared" si="94"/>
        <v>0</v>
      </c>
      <c r="AV158" s="1">
        <f t="shared" si="95"/>
        <v>0</v>
      </c>
      <c r="AW158" s="1">
        <f t="shared" si="96"/>
        <v>0</v>
      </c>
      <c r="AX158" s="1">
        <f t="shared" si="97"/>
        <v>90.5</v>
      </c>
      <c r="AY158" s="23">
        <f t="shared" si="98"/>
        <v>0.5</v>
      </c>
      <c r="AZ158" s="23">
        <f t="shared" si="99"/>
        <v>0.66484517304189439</v>
      </c>
      <c r="BA158" s="23">
        <f t="shared" si="100"/>
        <v>3.9890710382513666</v>
      </c>
      <c r="BB158" s="23">
        <f t="shared" si="101"/>
        <v>9.9726775956284168</v>
      </c>
      <c r="BC158" s="23">
        <f t="shared" si="102"/>
        <v>0</v>
      </c>
      <c r="BD158" s="23">
        <f t="shared" si="103"/>
        <v>9.9726775956284168</v>
      </c>
    </row>
    <row r="159" spans="1:56">
      <c r="A159" s="1" t="s">
        <v>20</v>
      </c>
      <c r="B159" s="1" t="s">
        <v>32</v>
      </c>
      <c r="C159" s="1" t="s">
        <v>22</v>
      </c>
      <c r="D159" s="1" t="s">
        <v>33</v>
      </c>
      <c r="E159" s="51" t="s">
        <v>107</v>
      </c>
      <c r="F159" s="51" t="s">
        <v>114</v>
      </c>
      <c r="G159" s="51" t="s">
        <v>109</v>
      </c>
      <c r="H159" s="51" t="s">
        <v>315</v>
      </c>
      <c r="I159" s="1" t="s">
        <v>147</v>
      </c>
      <c r="J159" s="51" t="s">
        <v>112</v>
      </c>
      <c r="K159" s="51" t="s">
        <v>112</v>
      </c>
      <c r="L159" s="51" t="s">
        <v>112</v>
      </c>
      <c r="M159" s="1">
        <v>1966559</v>
      </c>
      <c r="N159" s="50" t="s">
        <v>449</v>
      </c>
      <c r="O159" s="55">
        <f>DATE(2013,4,29)</f>
        <v>41393</v>
      </c>
      <c r="P159" s="55">
        <f>DATE(2016,4,30)</f>
        <v>42490</v>
      </c>
      <c r="Q159" s="51">
        <v>3240</v>
      </c>
      <c r="S159" s="51">
        <v>2.5</v>
      </c>
      <c r="U159" s="1">
        <f t="shared" si="74"/>
        <v>1098</v>
      </c>
      <c r="V159" s="31">
        <f t="shared" si="75"/>
        <v>2.9508196721311477</v>
      </c>
      <c r="W159" s="31">
        <f t="shared" si="76"/>
        <v>1077.049180327869</v>
      </c>
      <c r="X159" s="31">
        <f t="shared" si="77"/>
        <v>1.3463114754098362</v>
      </c>
      <c r="AA159" s="32">
        <f t="shared" si="78"/>
        <v>42552</v>
      </c>
      <c r="AB159" s="32">
        <f t="shared" si="79"/>
        <v>42735</v>
      </c>
      <c r="AC159" s="50">
        <v>22</v>
      </c>
      <c r="AD159" s="1">
        <f t="shared" si="80"/>
        <v>0</v>
      </c>
      <c r="AE159" s="1">
        <f t="shared" si="81"/>
        <v>0</v>
      </c>
      <c r="AF159" s="1">
        <f t="shared" si="82"/>
        <v>0</v>
      </c>
      <c r="AG159" s="1">
        <f t="shared" si="83"/>
        <v>0</v>
      </c>
      <c r="AH159" s="1">
        <f t="shared" si="84"/>
        <v>92</v>
      </c>
      <c r="AI159" s="23">
        <f t="shared" si="85"/>
        <v>0.5</v>
      </c>
      <c r="AJ159" s="23">
        <f t="shared" si="86"/>
        <v>0.6731557377049181</v>
      </c>
      <c r="AK159" s="23">
        <f t="shared" si="87"/>
        <v>7.4047131147540988</v>
      </c>
      <c r="AL159" s="23">
        <f t="shared" si="88"/>
        <v>18.511782786885249</v>
      </c>
      <c r="AM159" s="23">
        <f t="shared" si="89"/>
        <v>0</v>
      </c>
      <c r="AN159" s="23">
        <f t="shared" si="90"/>
        <v>18.511782786885249</v>
      </c>
      <c r="AQ159" s="32">
        <f t="shared" si="91"/>
        <v>42736</v>
      </c>
      <c r="AR159" s="32">
        <f t="shared" si="92"/>
        <v>42916</v>
      </c>
      <c r="AS159" s="50">
        <v>15</v>
      </c>
      <c r="AT159" s="1">
        <f t="shared" si="93"/>
        <v>0</v>
      </c>
      <c r="AU159" s="1">
        <f t="shared" si="94"/>
        <v>0</v>
      </c>
      <c r="AV159" s="1">
        <f t="shared" si="95"/>
        <v>0</v>
      </c>
      <c r="AW159" s="1">
        <f t="shared" si="96"/>
        <v>0</v>
      </c>
      <c r="AX159" s="1">
        <f t="shared" si="97"/>
        <v>90.5</v>
      </c>
      <c r="AY159" s="23">
        <f t="shared" si="98"/>
        <v>0.5</v>
      </c>
      <c r="AZ159" s="23">
        <f t="shared" si="99"/>
        <v>0.6731557377049181</v>
      </c>
      <c r="BA159" s="23">
        <f t="shared" si="100"/>
        <v>5.0486680327868854</v>
      </c>
      <c r="BB159" s="23">
        <f t="shared" si="101"/>
        <v>12.621670081967213</v>
      </c>
      <c r="BC159" s="23">
        <f t="shared" si="102"/>
        <v>0</v>
      </c>
      <c r="BD159" s="23">
        <f t="shared" si="103"/>
        <v>12.621670081967213</v>
      </c>
    </row>
    <row r="160" spans="1:56">
      <c r="A160" s="1" t="s">
        <v>20</v>
      </c>
      <c r="B160" s="1" t="s">
        <v>32</v>
      </c>
      <c r="C160" s="1" t="s">
        <v>22</v>
      </c>
      <c r="D160" s="1" t="s">
        <v>33</v>
      </c>
      <c r="E160" s="51" t="s">
        <v>107</v>
      </c>
      <c r="F160" s="51" t="s">
        <v>108</v>
      </c>
      <c r="G160" s="51" t="s">
        <v>109</v>
      </c>
      <c r="H160" s="51" t="s">
        <v>156</v>
      </c>
      <c r="I160" s="1" t="s">
        <v>128</v>
      </c>
      <c r="J160" s="51" t="s">
        <v>112</v>
      </c>
      <c r="K160" s="51" t="s">
        <v>112</v>
      </c>
      <c r="L160" s="51" t="s">
        <v>112</v>
      </c>
      <c r="M160" s="1">
        <v>1967186</v>
      </c>
      <c r="N160" s="50" t="s">
        <v>450</v>
      </c>
      <c r="O160" s="55">
        <f t="shared" ref="O160:O175" si="105">DATE(2014,11,10)</f>
        <v>41953</v>
      </c>
      <c r="P160" s="55">
        <f>DATE(2016,10,31)</f>
        <v>42674</v>
      </c>
      <c r="Q160" s="51">
        <v>2400</v>
      </c>
      <c r="S160" s="51">
        <v>2.5</v>
      </c>
      <c r="U160" s="1">
        <f t="shared" si="74"/>
        <v>722</v>
      </c>
      <c r="V160" s="31">
        <f t="shared" si="75"/>
        <v>3.3240997229916895</v>
      </c>
      <c r="W160" s="31">
        <f t="shared" si="76"/>
        <v>1213.2963988919666</v>
      </c>
      <c r="X160" s="31">
        <f t="shared" si="77"/>
        <v>1.5166204986149583</v>
      </c>
      <c r="AA160" s="32">
        <f t="shared" si="78"/>
        <v>42552</v>
      </c>
      <c r="AB160" s="32">
        <f t="shared" si="79"/>
        <v>42735</v>
      </c>
      <c r="AC160" s="50">
        <v>17</v>
      </c>
      <c r="AD160" s="1">
        <f t="shared" si="80"/>
        <v>0</v>
      </c>
      <c r="AE160" s="1">
        <f t="shared" si="81"/>
        <v>0</v>
      </c>
      <c r="AF160" s="1">
        <f t="shared" si="82"/>
        <v>123</v>
      </c>
      <c r="AG160" s="1">
        <f t="shared" si="83"/>
        <v>0</v>
      </c>
      <c r="AH160" s="1">
        <f t="shared" si="84"/>
        <v>0</v>
      </c>
      <c r="AI160" s="23">
        <f t="shared" si="85"/>
        <v>0.66847826086956519</v>
      </c>
      <c r="AJ160" s="23">
        <f t="shared" si="86"/>
        <v>1.0138278333132602</v>
      </c>
      <c r="AK160" s="23">
        <f t="shared" si="87"/>
        <v>17.235073166325424</v>
      </c>
      <c r="AL160" s="23">
        <f t="shared" si="88"/>
        <v>43.087682915813559</v>
      </c>
      <c r="AM160" s="23">
        <f t="shared" si="89"/>
        <v>0</v>
      </c>
      <c r="AN160" s="23">
        <f t="shared" si="90"/>
        <v>43.087682915813559</v>
      </c>
      <c r="AQ160" s="32">
        <f t="shared" si="91"/>
        <v>42736</v>
      </c>
      <c r="AR160" s="32">
        <f t="shared" si="92"/>
        <v>42916</v>
      </c>
      <c r="AS160" s="50">
        <v>17</v>
      </c>
      <c r="AT160" s="1">
        <f t="shared" si="93"/>
        <v>0</v>
      </c>
      <c r="AU160" s="1">
        <f t="shared" si="94"/>
        <v>0</v>
      </c>
      <c r="AV160" s="1">
        <f t="shared" si="95"/>
        <v>0</v>
      </c>
      <c r="AW160" s="1">
        <f t="shared" si="96"/>
        <v>0</v>
      </c>
      <c r="AX160" s="1">
        <f t="shared" si="97"/>
        <v>90.5</v>
      </c>
      <c r="AY160" s="23">
        <f t="shared" si="98"/>
        <v>0.5</v>
      </c>
      <c r="AZ160" s="23">
        <f t="shared" si="99"/>
        <v>0.75831024930747915</v>
      </c>
      <c r="BA160" s="23">
        <f t="shared" si="100"/>
        <v>6.4456371191135728</v>
      </c>
      <c r="BB160" s="23">
        <f t="shared" si="101"/>
        <v>16.114092797783933</v>
      </c>
      <c r="BC160" s="23">
        <f t="shared" si="102"/>
        <v>0</v>
      </c>
      <c r="BD160" s="23">
        <f t="shared" si="103"/>
        <v>16.114092797783933</v>
      </c>
    </row>
    <row r="161" spans="1:56">
      <c r="A161" s="1" t="s">
        <v>20</v>
      </c>
      <c r="B161" s="1" t="s">
        <v>32</v>
      </c>
      <c r="C161" s="1" t="s">
        <v>22</v>
      </c>
      <c r="D161" s="1" t="s">
        <v>33</v>
      </c>
      <c r="E161" s="51" t="s">
        <v>107</v>
      </c>
      <c r="F161" s="51" t="s">
        <v>108</v>
      </c>
      <c r="G161" s="51" t="s">
        <v>109</v>
      </c>
      <c r="H161" s="51" t="s">
        <v>273</v>
      </c>
      <c r="I161" s="1" t="s">
        <v>128</v>
      </c>
      <c r="J161" s="51" t="s">
        <v>112</v>
      </c>
      <c r="K161" s="51" t="s">
        <v>112</v>
      </c>
      <c r="L161" s="51" t="s">
        <v>112</v>
      </c>
      <c r="M161" s="1">
        <v>1967188</v>
      </c>
      <c r="N161" s="50" t="s">
        <v>451</v>
      </c>
      <c r="O161" s="55">
        <f t="shared" si="105"/>
        <v>41953</v>
      </c>
      <c r="P161" s="55">
        <f>DATE(2016,10,31)</f>
        <v>42674</v>
      </c>
      <c r="Q161" s="51">
        <v>1200</v>
      </c>
      <c r="S161" s="51">
        <v>2.5</v>
      </c>
      <c r="U161" s="1">
        <f t="shared" si="74"/>
        <v>722</v>
      </c>
      <c r="V161" s="31">
        <f t="shared" si="75"/>
        <v>1.6620498614958448</v>
      </c>
      <c r="W161" s="31">
        <f t="shared" si="76"/>
        <v>606.64819944598332</v>
      </c>
      <c r="X161" s="31">
        <f t="shared" si="77"/>
        <v>0.75831024930747915</v>
      </c>
      <c r="AA161" s="32">
        <f t="shared" si="78"/>
        <v>42552</v>
      </c>
      <c r="AB161" s="32">
        <f t="shared" si="79"/>
        <v>42735</v>
      </c>
      <c r="AC161" s="50">
        <v>5</v>
      </c>
      <c r="AD161" s="1">
        <f t="shared" si="80"/>
        <v>0</v>
      </c>
      <c r="AE161" s="1">
        <f t="shared" si="81"/>
        <v>0</v>
      </c>
      <c r="AF161" s="1">
        <f t="shared" si="82"/>
        <v>123</v>
      </c>
      <c r="AG161" s="1">
        <f t="shared" si="83"/>
        <v>0</v>
      </c>
      <c r="AH161" s="1">
        <f t="shared" si="84"/>
        <v>0</v>
      </c>
      <c r="AI161" s="23">
        <f t="shared" si="85"/>
        <v>0.66847826086956519</v>
      </c>
      <c r="AJ161" s="23">
        <f t="shared" si="86"/>
        <v>0.5069139166566301</v>
      </c>
      <c r="AK161" s="23">
        <f t="shared" si="87"/>
        <v>2.5345695832831505</v>
      </c>
      <c r="AL161" s="23">
        <f t="shared" si="88"/>
        <v>6.3364239582078765</v>
      </c>
      <c r="AM161" s="23">
        <f t="shared" si="89"/>
        <v>0</v>
      </c>
      <c r="AN161" s="23">
        <f t="shared" si="90"/>
        <v>6.3364239582078765</v>
      </c>
      <c r="AQ161" s="32">
        <f t="shared" si="91"/>
        <v>42736</v>
      </c>
      <c r="AR161" s="32">
        <f t="shared" si="92"/>
        <v>42916</v>
      </c>
      <c r="AS161" s="50">
        <v>4</v>
      </c>
      <c r="AT161" s="1">
        <f t="shared" si="93"/>
        <v>0</v>
      </c>
      <c r="AU161" s="1">
        <f t="shared" si="94"/>
        <v>0</v>
      </c>
      <c r="AV161" s="1">
        <f t="shared" si="95"/>
        <v>0</v>
      </c>
      <c r="AW161" s="1">
        <f t="shared" si="96"/>
        <v>0</v>
      </c>
      <c r="AX161" s="1">
        <f t="shared" si="97"/>
        <v>90.5</v>
      </c>
      <c r="AY161" s="23">
        <f t="shared" si="98"/>
        <v>0.5</v>
      </c>
      <c r="AZ161" s="23">
        <f t="shared" si="99"/>
        <v>0.37915512465373957</v>
      </c>
      <c r="BA161" s="23">
        <f t="shared" si="100"/>
        <v>0.75831024930747915</v>
      </c>
      <c r="BB161" s="23">
        <f t="shared" si="101"/>
        <v>1.895775623268698</v>
      </c>
      <c r="BC161" s="23">
        <f t="shared" si="102"/>
        <v>0</v>
      </c>
      <c r="BD161" s="23">
        <f t="shared" si="103"/>
        <v>1.895775623268698</v>
      </c>
    </row>
    <row r="162" spans="1:56">
      <c r="A162" s="1" t="s">
        <v>20</v>
      </c>
      <c r="B162" s="1" t="s">
        <v>32</v>
      </c>
      <c r="C162" s="1" t="s">
        <v>22</v>
      </c>
      <c r="D162" s="1" t="s">
        <v>33</v>
      </c>
      <c r="E162" s="51" t="s">
        <v>107</v>
      </c>
      <c r="F162" s="51" t="s">
        <v>108</v>
      </c>
      <c r="G162" s="51" t="s">
        <v>109</v>
      </c>
      <c r="H162" s="51" t="s">
        <v>275</v>
      </c>
      <c r="I162" s="1" t="s">
        <v>128</v>
      </c>
      <c r="J162" s="51" t="s">
        <v>112</v>
      </c>
      <c r="K162" s="51" t="s">
        <v>112</v>
      </c>
      <c r="L162" s="51" t="s">
        <v>112</v>
      </c>
      <c r="M162" s="1">
        <v>1967190</v>
      </c>
      <c r="N162" s="50" t="s">
        <v>452</v>
      </c>
      <c r="O162" s="55">
        <f t="shared" si="105"/>
        <v>41953</v>
      </c>
      <c r="P162" s="55">
        <f>DATE(2016,10,31)</f>
        <v>42674</v>
      </c>
      <c r="Q162" s="51">
        <v>1200</v>
      </c>
      <c r="S162" s="51">
        <v>2.5</v>
      </c>
      <c r="U162" s="1">
        <f t="shared" si="74"/>
        <v>722</v>
      </c>
      <c r="V162" s="31">
        <f t="shared" si="75"/>
        <v>1.6620498614958448</v>
      </c>
      <c r="W162" s="31">
        <f t="shared" si="76"/>
        <v>606.64819944598332</v>
      </c>
      <c r="X162" s="31">
        <f t="shared" si="77"/>
        <v>0.75831024930747915</v>
      </c>
      <c r="AA162" s="32">
        <f t="shared" si="78"/>
        <v>42552</v>
      </c>
      <c r="AB162" s="32">
        <f t="shared" si="79"/>
        <v>42735</v>
      </c>
      <c r="AC162" s="50">
        <v>12</v>
      </c>
      <c r="AD162" s="1">
        <f t="shared" si="80"/>
        <v>0</v>
      </c>
      <c r="AE162" s="1">
        <f t="shared" si="81"/>
        <v>0</v>
      </c>
      <c r="AF162" s="1">
        <f t="shared" si="82"/>
        <v>123</v>
      </c>
      <c r="AG162" s="1">
        <f t="shared" si="83"/>
        <v>0</v>
      </c>
      <c r="AH162" s="1">
        <f t="shared" si="84"/>
        <v>0</v>
      </c>
      <c r="AI162" s="23">
        <f t="shared" si="85"/>
        <v>0.66847826086956519</v>
      </c>
      <c r="AJ162" s="23">
        <f t="shared" si="86"/>
        <v>0.5069139166566301</v>
      </c>
      <c r="AK162" s="23">
        <f t="shared" si="87"/>
        <v>6.0829669998795612</v>
      </c>
      <c r="AL162" s="23">
        <f t="shared" si="88"/>
        <v>15.207417499698902</v>
      </c>
      <c r="AM162" s="23">
        <f t="shared" si="89"/>
        <v>0</v>
      </c>
      <c r="AN162" s="23">
        <f t="shared" si="90"/>
        <v>15.207417499698902</v>
      </c>
      <c r="AQ162" s="32">
        <f t="shared" si="91"/>
        <v>42736</v>
      </c>
      <c r="AR162" s="32">
        <f t="shared" si="92"/>
        <v>42916</v>
      </c>
      <c r="AS162" s="50">
        <v>12</v>
      </c>
      <c r="AT162" s="1">
        <f t="shared" si="93"/>
        <v>0</v>
      </c>
      <c r="AU162" s="1">
        <f t="shared" si="94"/>
        <v>0</v>
      </c>
      <c r="AV162" s="1">
        <f t="shared" si="95"/>
        <v>0</v>
      </c>
      <c r="AW162" s="1">
        <f t="shared" si="96"/>
        <v>0</v>
      </c>
      <c r="AX162" s="1">
        <f t="shared" si="97"/>
        <v>90.5</v>
      </c>
      <c r="AY162" s="23">
        <f t="shared" si="98"/>
        <v>0.5</v>
      </c>
      <c r="AZ162" s="23">
        <f t="shared" si="99"/>
        <v>0.37915512465373957</v>
      </c>
      <c r="BA162" s="23">
        <f t="shared" si="100"/>
        <v>2.2749307479224372</v>
      </c>
      <c r="BB162" s="23">
        <f t="shared" si="101"/>
        <v>5.6873268698060926</v>
      </c>
      <c r="BC162" s="23">
        <f t="shared" si="102"/>
        <v>0</v>
      </c>
      <c r="BD162" s="23">
        <f t="shared" si="103"/>
        <v>5.6873268698060926</v>
      </c>
    </row>
    <row r="163" spans="1:56">
      <c r="A163" s="1" t="s">
        <v>20</v>
      </c>
      <c r="B163" s="1" t="s">
        <v>32</v>
      </c>
      <c r="C163" s="1" t="s">
        <v>22</v>
      </c>
      <c r="D163" s="1" t="s">
        <v>33</v>
      </c>
      <c r="E163" s="51" t="s">
        <v>107</v>
      </c>
      <c r="F163" s="51" t="s">
        <v>108</v>
      </c>
      <c r="G163" s="51" t="s">
        <v>109</v>
      </c>
      <c r="H163" s="51" t="s">
        <v>213</v>
      </c>
      <c r="I163" s="1" t="s">
        <v>214</v>
      </c>
      <c r="J163" s="51" t="s">
        <v>112</v>
      </c>
      <c r="K163" s="51" t="s">
        <v>112</v>
      </c>
      <c r="L163" s="51" t="s">
        <v>112</v>
      </c>
      <c r="M163" s="1">
        <v>1967192</v>
      </c>
      <c r="N163" s="50" t="s">
        <v>453</v>
      </c>
      <c r="O163" s="55">
        <f t="shared" si="105"/>
        <v>41953</v>
      </c>
      <c r="P163" s="55">
        <f>DATE(2016,5,31)</f>
        <v>42521</v>
      </c>
      <c r="Q163" s="51">
        <v>950</v>
      </c>
      <c r="S163" s="51">
        <v>1.5</v>
      </c>
      <c r="U163" s="1">
        <f t="shared" si="74"/>
        <v>569</v>
      </c>
      <c r="V163" s="31">
        <f t="shared" si="75"/>
        <v>1.6695957820738137</v>
      </c>
      <c r="W163" s="31">
        <f t="shared" si="76"/>
        <v>609.40246045694198</v>
      </c>
      <c r="X163" s="31">
        <f t="shared" si="77"/>
        <v>0.76175307557117744</v>
      </c>
      <c r="AA163" s="32">
        <f t="shared" si="78"/>
        <v>42552</v>
      </c>
      <c r="AB163" s="32">
        <f t="shared" si="79"/>
        <v>42735</v>
      </c>
      <c r="AC163" s="50">
        <v>7</v>
      </c>
      <c r="AD163" s="1">
        <f t="shared" si="80"/>
        <v>0</v>
      </c>
      <c r="AE163" s="1">
        <f t="shared" si="81"/>
        <v>0</v>
      </c>
      <c r="AF163" s="1">
        <f t="shared" si="82"/>
        <v>0</v>
      </c>
      <c r="AG163" s="1">
        <f t="shared" si="83"/>
        <v>0</v>
      </c>
      <c r="AH163" s="1">
        <f t="shared" si="84"/>
        <v>92</v>
      </c>
      <c r="AI163" s="23">
        <f t="shared" si="85"/>
        <v>0.5</v>
      </c>
      <c r="AJ163" s="23">
        <f t="shared" si="86"/>
        <v>0.38087653778558872</v>
      </c>
      <c r="AK163" s="23">
        <f t="shared" si="87"/>
        <v>1.3330678822495605</v>
      </c>
      <c r="AL163" s="23">
        <f t="shared" si="88"/>
        <v>1.9996018233743409</v>
      </c>
      <c r="AM163" s="23">
        <f t="shared" si="89"/>
        <v>0</v>
      </c>
      <c r="AN163" s="23">
        <f t="shared" si="90"/>
        <v>1.9996018233743409</v>
      </c>
      <c r="AQ163" s="32">
        <f t="shared" si="91"/>
        <v>42736</v>
      </c>
      <c r="AR163" s="32">
        <f t="shared" si="92"/>
        <v>42916</v>
      </c>
      <c r="AS163" s="50">
        <v>6</v>
      </c>
      <c r="AT163" s="1">
        <f t="shared" si="93"/>
        <v>0</v>
      </c>
      <c r="AU163" s="1">
        <f t="shared" si="94"/>
        <v>0</v>
      </c>
      <c r="AV163" s="1">
        <f t="shared" si="95"/>
        <v>0</v>
      </c>
      <c r="AW163" s="1">
        <f t="shared" si="96"/>
        <v>0</v>
      </c>
      <c r="AX163" s="1">
        <f t="shared" si="97"/>
        <v>90.5</v>
      </c>
      <c r="AY163" s="23">
        <f t="shared" si="98"/>
        <v>0.5</v>
      </c>
      <c r="AZ163" s="23">
        <f t="shared" si="99"/>
        <v>0.38087653778558872</v>
      </c>
      <c r="BA163" s="23">
        <f t="shared" si="100"/>
        <v>1.1426296133567662</v>
      </c>
      <c r="BB163" s="23">
        <f t="shared" si="101"/>
        <v>1.7139444200351492</v>
      </c>
      <c r="BC163" s="23">
        <f t="shared" si="102"/>
        <v>0</v>
      </c>
      <c r="BD163" s="23">
        <f t="shared" si="103"/>
        <v>1.7139444200351492</v>
      </c>
    </row>
    <row r="164" spans="1:56">
      <c r="A164" s="1" t="s">
        <v>20</v>
      </c>
      <c r="B164" s="1" t="s">
        <v>32</v>
      </c>
      <c r="C164" s="1" t="s">
        <v>22</v>
      </c>
      <c r="D164" s="1" t="s">
        <v>33</v>
      </c>
      <c r="E164" s="51" t="s">
        <v>107</v>
      </c>
      <c r="F164" s="51" t="s">
        <v>108</v>
      </c>
      <c r="G164" s="51" t="s">
        <v>109</v>
      </c>
      <c r="H164" s="51" t="s">
        <v>287</v>
      </c>
      <c r="I164" s="1" t="s">
        <v>111</v>
      </c>
      <c r="J164" s="51" t="s">
        <v>112</v>
      </c>
      <c r="K164" s="51" t="s">
        <v>112</v>
      </c>
      <c r="L164" s="51" t="s">
        <v>112</v>
      </c>
      <c r="M164" s="1">
        <v>1967193</v>
      </c>
      <c r="N164" s="50" t="s">
        <v>454</v>
      </c>
      <c r="O164" s="55">
        <f t="shared" si="105"/>
        <v>41953</v>
      </c>
      <c r="P164" s="55">
        <f>DATE(2016,10,31)</f>
        <v>42674</v>
      </c>
      <c r="Q164" s="51">
        <v>1200</v>
      </c>
      <c r="S164" s="51">
        <v>2.5</v>
      </c>
      <c r="U164" s="1">
        <f t="shared" si="74"/>
        <v>722</v>
      </c>
      <c r="V164" s="31">
        <f t="shared" si="75"/>
        <v>1.6620498614958448</v>
      </c>
      <c r="W164" s="31">
        <f t="shared" si="76"/>
        <v>606.64819944598332</v>
      </c>
      <c r="X164" s="31">
        <f t="shared" si="77"/>
        <v>0.75831024930747915</v>
      </c>
      <c r="AA164" s="32">
        <f t="shared" si="78"/>
        <v>42552</v>
      </c>
      <c r="AB164" s="32">
        <f t="shared" si="79"/>
        <v>42735</v>
      </c>
      <c r="AC164" s="50">
        <v>6</v>
      </c>
      <c r="AD164" s="1">
        <f t="shared" si="80"/>
        <v>0</v>
      </c>
      <c r="AE164" s="1">
        <f t="shared" si="81"/>
        <v>0</v>
      </c>
      <c r="AF164" s="1">
        <f t="shared" si="82"/>
        <v>123</v>
      </c>
      <c r="AG164" s="1">
        <f t="shared" si="83"/>
        <v>0</v>
      </c>
      <c r="AH164" s="1">
        <f t="shared" si="84"/>
        <v>0</v>
      </c>
      <c r="AI164" s="23">
        <f t="shared" si="85"/>
        <v>0.66847826086956519</v>
      </c>
      <c r="AJ164" s="23">
        <f t="shared" si="86"/>
        <v>0.5069139166566301</v>
      </c>
      <c r="AK164" s="23">
        <f t="shared" si="87"/>
        <v>3.0414834999397806</v>
      </c>
      <c r="AL164" s="23">
        <f t="shared" si="88"/>
        <v>7.6037087498494511</v>
      </c>
      <c r="AM164" s="23">
        <f t="shared" si="89"/>
        <v>0</v>
      </c>
      <c r="AN164" s="23">
        <f t="shared" si="90"/>
        <v>7.6037087498494511</v>
      </c>
      <c r="AQ164" s="32">
        <f t="shared" si="91"/>
        <v>42736</v>
      </c>
      <c r="AR164" s="32">
        <f t="shared" si="92"/>
        <v>42916</v>
      </c>
      <c r="AS164" s="50">
        <v>3</v>
      </c>
      <c r="AT164" s="1">
        <f t="shared" si="93"/>
        <v>0</v>
      </c>
      <c r="AU164" s="1">
        <f t="shared" si="94"/>
        <v>0</v>
      </c>
      <c r="AV164" s="1">
        <f t="shared" si="95"/>
        <v>0</v>
      </c>
      <c r="AW164" s="1">
        <f t="shared" si="96"/>
        <v>0</v>
      </c>
      <c r="AX164" s="1">
        <f t="shared" si="97"/>
        <v>90.5</v>
      </c>
      <c r="AY164" s="23">
        <f t="shared" si="98"/>
        <v>0.5</v>
      </c>
      <c r="AZ164" s="23">
        <f t="shared" si="99"/>
        <v>0.37915512465373957</v>
      </c>
      <c r="BA164" s="23">
        <f t="shared" si="100"/>
        <v>0.5687326869806093</v>
      </c>
      <c r="BB164" s="23">
        <f t="shared" si="101"/>
        <v>1.4218317174515231</v>
      </c>
      <c r="BC164" s="23">
        <f t="shared" si="102"/>
        <v>0</v>
      </c>
      <c r="BD164" s="23">
        <f t="shared" si="103"/>
        <v>1.4218317174515231</v>
      </c>
    </row>
    <row r="165" spans="1:56">
      <c r="A165" s="1" t="s">
        <v>20</v>
      </c>
      <c r="B165" s="1" t="s">
        <v>32</v>
      </c>
      <c r="C165" s="1" t="s">
        <v>22</v>
      </c>
      <c r="D165" s="1" t="s">
        <v>33</v>
      </c>
      <c r="E165" s="51" t="s">
        <v>107</v>
      </c>
      <c r="F165" s="51" t="s">
        <v>108</v>
      </c>
      <c r="G165" s="51" t="s">
        <v>109</v>
      </c>
      <c r="H165" s="51" t="s">
        <v>124</v>
      </c>
      <c r="I165" s="1" t="s">
        <v>125</v>
      </c>
      <c r="J165" s="51" t="s">
        <v>112</v>
      </c>
      <c r="K165" s="51" t="s">
        <v>112</v>
      </c>
      <c r="L165" s="51" t="s">
        <v>112</v>
      </c>
      <c r="M165" s="1">
        <v>1967196</v>
      </c>
      <c r="N165" s="50" t="s">
        <v>455</v>
      </c>
      <c r="O165" s="55">
        <f t="shared" si="105"/>
        <v>41953</v>
      </c>
      <c r="P165" s="55">
        <f>DATE(2016,5,31)</f>
        <v>42521</v>
      </c>
      <c r="Q165" s="51">
        <v>1200</v>
      </c>
      <c r="S165" s="51">
        <v>2.5</v>
      </c>
      <c r="U165" s="1">
        <f t="shared" si="74"/>
        <v>569</v>
      </c>
      <c r="V165" s="31">
        <f t="shared" si="75"/>
        <v>2.1089630931458698</v>
      </c>
      <c r="W165" s="31">
        <f t="shared" si="76"/>
        <v>769.7715289982425</v>
      </c>
      <c r="X165" s="31">
        <f t="shared" si="77"/>
        <v>0.96221441124780316</v>
      </c>
      <c r="AA165" s="32">
        <f t="shared" si="78"/>
        <v>42552</v>
      </c>
      <c r="AB165" s="32">
        <f t="shared" si="79"/>
        <v>42735</v>
      </c>
      <c r="AC165" s="50">
        <v>8</v>
      </c>
      <c r="AD165" s="1">
        <f t="shared" si="80"/>
        <v>0</v>
      </c>
      <c r="AE165" s="1">
        <f t="shared" si="81"/>
        <v>0</v>
      </c>
      <c r="AF165" s="1">
        <f t="shared" si="82"/>
        <v>0</v>
      </c>
      <c r="AG165" s="1">
        <f t="shared" si="83"/>
        <v>0</v>
      </c>
      <c r="AH165" s="1">
        <f t="shared" si="84"/>
        <v>92</v>
      </c>
      <c r="AI165" s="23">
        <f t="shared" si="85"/>
        <v>0.5</v>
      </c>
      <c r="AJ165" s="23">
        <f t="shared" si="86"/>
        <v>0.48110720562390158</v>
      </c>
      <c r="AK165" s="23">
        <f t="shared" si="87"/>
        <v>1.9244288224956063</v>
      </c>
      <c r="AL165" s="23">
        <f t="shared" si="88"/>
        <v>4.8110720562390155</v>
      </c>
      <c r="AM165" s="23">
        <f t="shared" si="89"/>
        <v>0</v>
      </c>
      <c r="AN165" s="23">
        <f t="shared" si="90"/>
        <v>4.8110720562390155</v>
      </c>
      <c r="AQ165" s="32">
        <f t="shared" si="91"/>
        <v>42736</v>
      </c>
      <c r="AR165" s="32">
        <f t="shared" si="92"/>
        <v>42916</v>
      </c>
      <c r="AS165" s="50">
        <v>4</v>
      </c>
      <c r="AT165" s="1">
        <f t="shared" si="93"/>
        <v>0</v>
      </c>
      <c r="AU165" s="1">
        <f t="shared" si="94"/>
        <v>0</v>
      </c>
      <c r="AV165" s="1">
        <f t="shared" si="95"/>
        <v>0</v>
      </c>
      <c r="AW165" s="1">
        <f t="shared" si="96"/>
        <v>0</v>
      </c>
      <c r="AX165" s="1">
        <f t="shared" si="97"/>
        <v>90.5</v>
      </c>
      <c r="AY165" s="23">
        <f t="shared" si="98"/>
        <v>0.5</v>
      </c>
      <c r="AZ165" s="23">
        <f t="shared" si="99"/>
        <v>0.48110720562390158</v>
      </c>
      <c r="BA165" s="23">
        <f t="shared" si="100"/>
        <v>0.96221441124780316</v>
      </c>
      <c r="BB165" s="23">
        <f t="shared" si="101"/>
        <v>2.4055360281195077</v>
      </c>
      <c r="BC165" s="23">
        <f t="shared" si="102"/>
        <v>0</v>
      </c>
      <c r="BD165" s="23">
        <f t="shared" si="103"/>
        <v>2.4055360281195077</v>
      </c>
    </row>
    <row r="166" spans="1:56">
      <c r="A166" s="1" t="s">
        <v>20</v>
      </c>
      <c r="B166" s="1" t="s">
        <v>32</v>
      </c>
      <c r="C166" s="1" t="s">
        <v>22</v>
      </c>
      <c r="D166" s="1" t="s">
        <v>33</v>
      </c>
      <c r="E166" s="51" t="s">
        <v>107</v>
      </c>
      <c r="F166" s="51" t="s">
        <v>108</v>
      </c>
      <c r="G166" s="51" t="s">
        <v>109</v>
      </c>
      <c r="H166" s="51" t="s">
        <v>179</v>
      </c>
      <c r="I166" s="1" t="s">
        <v>125</v>
      </c>
      <c r="J166" s="51" t="s">
        <v>112</v>
      </c>
      <c r="K166" s="51" t="s">
        <v>112</v>
      </c>
      <c r="L166" s="51" t="s">
        <v>112</v>
      </c>
      <c r="M166" s="1">
        <v>1967197</v>
      </c>
      <c r="N166" s="50" t="s">
        <v>456</v>
      </c>
      <c r="O166" s="55">
        <f t="shared" si="105"/>
        <v>41953</v>
      </c>
      <c r="P166" s="55">
        <f>DATE(2016,5,31)</f>
        <v>42521</v>
      </c>
      <c r="Q166" s="51">
        <v>2960</v>
      </c>
      <c r="S166" s="51">
        <v>2</v>
      </c>
      <c r="U166" s="1">
        <f t="shared" si="74"/>
        <v>569</v>
      </c>
      <c r="V166" s="31">
        <f t="shared" si="75"/>
        <v>5.2021089630931456</v>
      </c>
      <c r="W166" s="31">
        <f t="shared" si="76"/>
        <v>1898.7697715289983</v>
      </c>
      <c r="X166" s="31">
        <f t="shared" si="77"/>
        <v>2.3734622144112478</v>
      </c>
      <c r="AA166" s="32">
        <f t="shared" si="78"/>
        <v>42552</v>
      </c>
      <c r="AB166" s="32">
        <f t="shared" si="79"/>
        <v>42735</v>
      </c>
      <c r="AC166" s="50">
        <v>9</v>
      </c>
      <c r="AD166" s="1">
        <f t="shared" si="80"/>
        <v>0</v>
      </c>
      <c r="AE166" s="1">
        <f t="shared" si="81"/>
        <v>0</v>
      </c>
      <c r="AF166" s="1">
        <f t="shared" si="82"/>
        <v>0</v>
      </c>
      <c r="AG166" s="1">
        <f t="shared" si="83"/>
        <v>0</v>
      </c>
      <c r="AH166" s="1">
        <f t="shared" si="84"/>
        <v>92</v>
      </c>
      <c r="AI166" s="23">
        <f t="shared" si="85"/>
        <v>0.5</v>
      </c>
      <c r="AJ166" s="23">
        <f t="shared" si="86"/>
        <v>1.1867311072056239</v>
      </c>
      <c r="AK166" s="23">
        <f t="shared" si="87"/>
        <v>5.3402899824253076</v>
      </c>
      <c r="AL166" s="23">
        <f t="shared" si="88"/>
        <v>10.680579964850615</v>
      </c>
      <c r="AM166" s="23">
        <f t="shared" si="89"/>
        <v>0</v>
      </c>
      <c r="AN166" s="23">
        <f t="shared" si="90"/>
        <v>10.680579964850615</v>
      </c>
      <c r="AQ166" s="32">
        <f t="shared" si="91"/>
        <v>42736</v>
      </c>
      <c r="AR166" s="32">
        <f t="shared" si="92"/>
        <v>42916</v>
      </c>
      <c r="AS166" s="50">
        <v>8</v>
      </c>
      <c r="AT166" s="1">
        <f t="shared" si="93"/>
        <v>0</v>
      </c>
      <c r="AU166" s="1">
        <f t="shared" si="94"/>
        <v>0</v>
      </c>
      <c r="AV166" s="1">
        <f t="shared" si="95"/>
        <v>0</v>
      </c>
      <c r="AW166" s="1">
        <f t="shared" si="96"/>
        <v>0</v>
      </c>
      <c r="AX166" s="1">
        <f t="shared" si="97"/>
        <v>90.5</v>
      </c>
      <c r="AY166" s="23">
        <f t="shared" si="98"/>
        <v>0.5</v>
      </c>
      <c r="AZ166" s="23">
        <f t="shared" si="99"/>
        <v>1.1867311072056239</v>
      </c>
      <c r="BA166" s="23">
        <f t="shared" si="100"/>
        <v>4.7469244288224957</v>
      </c>
      <c r="BB166" s="23">
        <f t="shared" si="101"/>
        <v>9.4938488576449913</v>
      </c>
      <c r="BC166" s="23">
        <f t="shared" si="102"/>
        <v>0</v>
      </c>
      <c r="BD166" s="23">
        <f t="shared" si="103"/>
        <v>9.4938488576449913</v>
      </c>
    </row>
    <row r="167" spans="1:56">
      <c r="A167" s="1" t="s">
        <v>20</v>
      </c>
      <c r="B167" s="1" t="s">
        <v>32</v>
      </c>
      <c r="C167" s="1" t="s">
        <v>22</v>
      </c>
      <c r="D167" s="1" t="s">
        <v>33</v>
      </c>
      <c r="E167" s="51" t="s">
        <v>107</v>
      </c>
      <c r="F167" s="51" t="s">
        <v>108</v>
      </c>
      <c r="G167" s="51" t="s">
        <v>109</v>
      </c>
      <c r="H167" s="51" t="s">
        <v>146</v>
      </c>
      <c r="I167" s="1" t="s">
        <v>147</v>
      </c>
      <c r="J167" s="51" t="s">
        <v>148</v>
      </c>
      <c r="K167" s="51" t="s">
        <v>112</v>
      </c>
      <c r="L167" s="51" t="s">
        <v>112</v>
      </c>
      <c r="M167" s="1">
        <v>1967199</v>
      </c>
      <c r="N167" s="50" t="s">
        <v>457</v>
      </c>
      <c r="O167" s="55">
        <f t="shared" si="105"/>
        <v>41953</v>
      </c>
      <c r="P167" s="55">
        <f>DATE(2016,5,31)</f>
        <v>42521</v>
      </c>
      <c r="Q167" s="51">
        <v>1240</v>
      </c>
      <c r="S167" s="51">
        <v>2.5</v>
      </c>
      <c r="U167" s="1">
        <f t="shared" si="74"/>
        <v>569</v>
      </c>
      <c r="V167" s="31">
        <f t="shared" si="75"/>
        <v>2.1792618629173988</v>
      </c>
      <c r="W167" s="31">
        <f t="shared" si="76"/>
        <v>795.43057996485049</v>
      </c>
      <c r="X167" s="31">
        <f t="shared" si="77"/>
        <v>0.99428822495606317</v>
      </c>
      <c r="AA167" s="32">
        <f t="shared" si="78"/>
        <v>42552</v>
      </c>
      <c r="AB167" s="32">
        <f t="shared" si="79"/>
        <v>42735</v>
      </c>
      <c r="AC167" s="50">
        <v>7</v>
      </c>
      <c r="AD167" s="1">
        <f t="shared" si="80"/>
        <v>0</v>
      </c>
      <c r="AE167" s="1">
        <f t="shared" si="81"/>
        <v>0</v>
      </c>
      <c r="AF167" s="1">
        <f t="shared" si="82"/>
        <v>0</v>
      </c>
      <c r="AG167" s="1">
        <f t="shared" si="83"/>
        <v>0</v>
      </c>
      <c r="AH167" s="1">
        <f t="shared" si="84"/>
        <v>92</v>
      </c>
      <c r="AI167" s="23">
        <f t="shared" si="85"/>
        <v>0.5</v>
      </c>
      <c r="AJ167" s="23">
        <f t="shared" si="86"/>
        <v>0.49714411247803159</v>
      </c>
      <c r="AK167" s="23">
        <f t="shared" si="87"/>
        <v>1.7400043936731104</v>
      </c>
      <c r="AL167" s="23">
        <f t="shared" si="88"/>
        <v>4.3500109841827763</v>
      </c>
      <c r="AM167" s="23">
        <f t="shared" si="89"/>
        <v>2.1750054920913882</v>
      </c>
      <c r="AN167" s="23">
        <f t="shared" si="90"/>
        <v>6.525016476274164</v>
      </c>
      <c r="AQ167" s="32">
        <f t="shared" si="91"/>
        <v>42736</v>
      </c>
      <c r="AR167" s="32">
        <f t="shared" si="92"/>
        <v>42916</v>
      </c>
      <c r="AS167" s="50">
        <v>5</v>
      </c>
      <c r="AT167" s="1">
        <f t="shared" si="93"/>
        <v>0</v>
      </c>
      <c r="AU167" s="1">
        <f t="shared" si="94"/>
        <v>0</v>
      </c>
      <c r="AV167" s="1">
        <f t="shared" si="95"/>
        <v>0</v>
      </c>
      <c r="AW167" s="1">
        <f t="shared" si="96"/>
        <v>0</v>
      </c>
      <c r="AX167" s="1">
        <f t="shared" si="97"/>
        <v>90.5</v>
      </c>
      <c r="AY167" s="23">
        <f t="shared" si="98"/>
        <v>0.5</v>
      </c>
      <c r="AZ167" s="23">
        <f t="shared" si="99"/>
        <v>0.49714411247803159</v>
      </c>
      <c r="BA167" s="23">
        <f t="shared" si="100"/>
        <v>1.2428602811950791</v>
      </c>
      <c r="BB167" s="23">
        <f t="shared" si="101"/>
        <v>3.1071507029876977</v>
      </c>
      <c r="BC167" s="23">
        <f t="shared" si="102"/>
        <v>1.5535753514938488</v>
      </c>
      <c r="BD167" s="23">
        <f t="shared" si="103"/>
        <v>4.6607260544815468</v>
      </c>
    </row>
    <row r="168" spans="1:56">
      <c r="A168" s="1" t="s">
        <v>20</v>
      </c>
      <c r="B168" s="1" t="s">
        <v>32</v>
      </c>
      <c r="C168" s="1" t="s">
        <v>22</v>
      </c>
      <c r="D168" s="1" t="s">
        <v>33</v>
      </c>
      <c r="E168" s="51" t="s">
        <v>107</v>
      </c>
      <c r="F168" s="51" t="s">
        <v>108</v>
      </c>
      <c r="G168" s="51" t="s">
        <v>109</v>
      </c>
      <c r="H168" s="51" t="s">
        <v>283</v>
      </c>
      <c r="I168" s="1" t="s">
        <v>128</v>
      </c>
      <c r="J168" s="51" t="s">
        <v>112</v>
      </c>
      <c r="K168" s="51" t="s">
        <v>112</v>
      </c>
      <c r="L168" s="51" t="s">
        <v>112</v>
      </c>
      <c r="M168" s="1">
        <v>1967200</v>
      </c>
      <c r="N168" s="50" t="s">
        <v>458</v>
      </c>
      <c r="O168" s="55">
        <f t="shared" si="105"/>
        <v>41953</v>
      </c>
      <c r="P168" s="55">
        <f>DATE(2016,10,31)</f>
        <v>42674</v>
      </c>
      <c r="Q168" s="51">
        <v>1200</v>
      </c>
      <c r="S168" s="51">
        <v>2.5</v>
      </c>
      <c r="U168" s="1">
        <f t="shared" si="74"/>
        <v>722</v>
      </c>
      <c r="V168" s="31">
        <f t="shared" si="75"/>
        <v>1.6620498614958448</v>
      </c>
      <c r="W168" s="31">
        <f t="shared" si="76"/>
        <v>606.64819944598332</v>
      </c>
      <c r="X168" s="31">
        <f t="shared" si="77"/>
        <v>0.75831024930747915</v>
      </c>
      <c r="AA168" s="32">
        <f t="shared" si="78"/>
        <v>42552</v>
      </c>
      <c r="AB168" s="32">
        <f t="shared" si="79"/>
        <v>42735</v>
      </c>
      <c r="AC168" s="50">
        <v>11</v>
      </c>
      <c r="AD168" s="1">
        <f t="shared" si="80"/>
        <v>0</v>
      </c>
      <c r="AE168" s="1">
        <f t="shared" si="81"/>
        <v>0</v>
      </c>
      <c r="AF168" s="1">
        <f t="shared" si="82"/>
        <v>123</v>
      </c>
      <c r="AG168" s="1">
        <f t="shared" si="83"/>
        <v>0</v>
      </c>
      <c r="AH168" s="1">
        <f t="shared" si="84"/>
        <v>0</v>
      </c>
      <c r="AI168" s="23">
        <f t="shared" si="85"/>
        <v>0.66847826086956519</v>
      </c>
      <c r="AJ168" s="23">
        <f t="shared" si="86"/>
        <v>0.5069139166566301</v>
      </c>
      <c r="AK168" s="23">
        <f t="shared" si="87"/>
        <v>5.5760530832229307</v>
      </c>
      <c r="AL168" s="23">
        <f t="shared" si="88"/>
        <v>13.940132708057327</v>
      </c>
      <c r="AM168" s="23">
        <f t="shared" si="89"/>
        <v>0</v>
      </c>
      <c r="AN168" s="23">
        <f t="shared" si="90"/>
        <v>13.940132708057327</v>
      </c>
      <c r="AQ168" s="32">
        <f t="shared" si="91"/>
        <v>42736</v>
      </c>
      <c r="AR168" s="32">
        <f t="shared" si="92"/>
        <v>42916</v>
      </c>
      <c r="AS168" s="50">
        <v>11</v>
      </c>
      <c r="AT168" s="1">
        <f t="shared" si="93"/>
        <v>0</v>
      </c>
      <c r="AU168" s="1">
        <f t="shared" si="94"/>
        <v>0</v>
      </c>
      <c r="AV168" s="1">
        <f t="shared" si="95"/>
        <v>0</v>
      </c>
      <c r="AW168" s="1">
        <f t="shared" si="96"/>
        <v>0</v>
      </c>
      <c r="AX168" s="1">
        <f t="shared" si="97"/>
        <v>90.5</v>
      </c>
      <c r="AY168" s="23">
        <f t="shared" si="98"/>
        <v>0.5</v>
      </c>
      <c r="AZ168" s="23">
        <f t="shared" si="99"/>
        <v>0.37915512465373957</v>
      </c>
      <c r="BA168" s="23">
        <f t="shared" si="100"/>
        <v>2.0853531855955678</v>
      </c>
      <c r="BB168" s="23">
        <f t="shared" si="101"/>
        <v>5.21338296398892</v>
      </c>
      <c r="BC168" s="23">
        <f t="shared" si="102"/>
        <v>0</v>
      </c>
      <c r="BD168" s="23">
        <f t="shared" si="103"/>
        <v>5.21338296398892</v>
      </c>
    </row>
    <row r="169" spans="1:56">
      <c r="A169" s="1" t="s">
        <v>20</v>
      </c>
      <c r="B169" s="1" t="s">
        <v>32</v>
      </c>
      <c r="C169" s="1" t="s">
        <v>22</v>
      </c>
      <c r="D169" s="1" t="s">
        <v>33</v>
      </c>
      <c r="E169" s="51" t="s">
        <v>107</v>
      </c>
      <c r="F169" s="51" t="s">
        <v>108</v>
      </c>
      <c r="G169" s="51" t="s">
        <v>109</v>
      </c>
      <c r="H169" s="51" t="s">
        <v>285</v>
      </c>
      <c r="I169" s="1" t="s">
        <v>125</v>
      </c>
      <c r="J169" s="51" t="s">
        <v>112</v>
      </c>
      <c r="K169" s="51" t="s">
        <v>112</v>
      </c>
      <c r="L169" s="51" t="s">
        <v>112</v>
      </c>
      <c r="M169" s="1">
        <v>1967201</v>
      </c>
      <c r="N169" s="50" t="s">
        <v>459</v>
      </c>
      <c r="O169" s="55">
        <f t="shared" si="105"/>
        <v>41953</v>
      </c>
      <c r="P169" s="55">
        <f>DATE(2016,5,31)</f>
        <v>42521</v>
      </c>
      <c r="Q169" s="51">
        <v>1340</v>
      </c>
      <c r="S169" s="51">
        <v>2.5</v>
      </c>
      <c r="U169" s="1">
        <f t="shared" si="74"/>
        <v>569</v>
      </c>
      <c r="V169" s="31">
        <f t="shared" si="75"/>
        <v>2.3550087873462213</v>
      </c>
      <c r="W169" s="31">
        <f t="shared" si="76"/>
        <v>859.57820738137082</v>
      </c>
      <c r="X169" s="31">
        <f t="shared" si="77"/>
        <v>1.0744727592267136</v>
      </c>
      <c r="AA169" s="32">
        <f t="shared" si="78"/>
        <v>42552</v>
      </c>
      <c r="AB169" s="32">
        <f t="shared" si="79"/>
        <v>42735</v>
      </c>
      <c r="AC169" s="50">
        <v>4</v>
      </c>
      <c r="AD169" s="1">
        <f t="shared" si="80"/>
        <v>0</v>
      </c>
      <c r="AE169" s="1">
        <f t="shared" si="81"/>
        <v>0</v>
      </c>
      <c r="AF169" s="1">
        <f t="shared" si="82"/>
        <v>0</v>
      </c>
      <c r="AG169" s="1">
        <f t="shared" si="83"/>
        <v>0</v>
      </c>
      <c r="AH169" s="1">
        <f t="shared" si="84"/>
        <v>92</v>
      </c>
      <c r="AI169" s="23">
        <f t="shared" si="85"/>
        <v>0.5</v>
      </c>
      <c r="AJ169" s="23">
        <f t="shared" si="86"/>
        <v>0.5372363796133568</v>
      </c>
      <c r="AK169" s="23">
        <f t="shared" si="87"/>
        <v>1.0744727592267136</v>
      </c>
      <c r="AL169" s="23">
        <f t="shared" si="88"/>
        <v>2.686181898066784</v>
      </c>
      <c r="AM169" s="23">
        <f t="shared" si="89"/>
        <v>0</v>
      </c>
      <c r="AN169" s="23">
        <f t="shared" si="90"/>
        <v>2.686181898066784</v>
      </c>
      <c r="AQ169" s="32">
        <f t="shared" si="91"/>
        <v>42736</v>
      </c>
      <c r="AR169" s="32">
        <f t="shared" si="92"/>
        <v>42916</v>
      </c>
      <c r="AS169" s="50">
        <v>3</v>
      </c>
      <c r="AT169" s="1">
        <f t="shared" si="93"/>
        <v>0</v>
      </c>
      <c r="AU169" s="1">
        <f t="shared" si="94"/>
        <v>0</v>
      </c>
      <c r="AV169" s="1">
        <f t="shared" si="95"/>
        <v>0</v>
      </c>
      <c r="AW169" s="1">
        <f t="shared" si="96"/>
        <v>0</v>
      </c>
      <c r="AX169" s="1">
        <f t="shared" si="97"/>
        <v>90.5</v>
      </c>
      <c r="AY169" s="23">
        <f t="shared" si="98"/>
        <v>0.5</v>
      </c>
      <c r="AZ169" s="23">
        <f t="shared" si="99"/>
        <v>0.5372363796133568</v>
      </c>
      <c r="BA169" s="23">
        <f t="shared" si="100"/>
        <v>0.80585456942003519</v>
      </c>
      <c r="BB169" s="23">
        <f t="shared" si="101"/>
        <v>2.0146364235500878</v>
      </c>
      <c r="BC169" s="23">
        <f t="shared" si="102"/>
        <v>0</v>
      </c>
      <c r="BD169" s="23">
        <f t="shared" si="103"/>
        <v>2.0146364235500878</v>
      </c>
    </row>
    <row r="170" spans="1:56">
      <c r="A170" s="1" t="s">
        <v>20</v>
      </c>
      <c r="B170" s="1" t="s">
        <v>32</v>
      </c>
      <c r="C170" s="1" t="s">
        <v>22</v>
      </c>
      <c r="D170" s="1" t="s">
        <v>33</v>
      </c>
      <c r="E170" s="51" t="s">
        <v>107</v>
      </c>
      <c r="F170" s="51" t="s">
        <v>108</v>
      </c>
      <c r="G170" s="51" t="s">
        <v>109</v>
      </c>
      <c r="H170" s="51" t="s">
        <v>351</v>
      </c>
      <c r="I170" s="1" t="s">
        <v>125</v>
      </c>
      <c r="J170" s="51" t="s">
        <v>112</v>
      </c>
      <c r="K170" s="51" t="s">
        <v>112</v>
      </c>
      <c r="L170" s="51" t="s">
        <v>112</v>
      </c>
      <c r="M170" s="1">
        <v>1967202</v>
      </c>
      <c r="N170" s="50" t="s">
        <v>460</v>
      </c>
      <c r="O170" s="55">
        <f t="shared" si="105"/>
        <v>41953</v>
      </c>
      <c r="P170" s="55">
        <f>DATE(2016,5,31)</f>
        <v>42521</v>
      </c>
      <c r="Q170" s="51">
        <v>1360</v>
      </c>
      <c r="S170" s="51">
        <v>2</v>
      </c>
      <c r="U170" s="1">
        <f t="shared" si="74"/>
        <v>569</v>
      </c>
      <c r="V170" s="31">
        <f t="shared" si="75"/>
        <v>2.390158172231986</v>
      </c>
      <c r="W170" s="31">
        <f t="shared" si="76"/>
        <v>872.40773286467493</v>
      </c>
      <c r="X170" s="31">
        <f t="shared" si="77"/>
        <v>1.0905096660808438</v>
      </c>
      <c r="AA170" s="32">
        <f t="shared" si="78"/>
        <v>42552</v>
      </c>
      <c r="AB170" s="32">
        <f t="shared" si="79"/>
        <v>42735</v>
      </c>
      <c r="AC170" s="50">
        <v>8</v>
      </c>
      <c r="AD170" s="1">
        <f t="shared" si="80"/>
        <v>0</v>
      </c>
      <c r="AE170" s="1">
        <f t="shared" si="81"/>
        <v>0</v>
      </c>
      <c r="AF170" s="1">
        <f t="shared" si="82"/>
        <v>0</v>
      </c>
      <c r="AG170" s="1">
        <f t="shared" si="83"/>
        <v>0</v>
      </c>
      <c r="AH170" s="1">
        <f t="shared" si="84"/>
        <v>92</v>
      </c>
      <c r="AI170" s="23">
        <f t="shared" si="85"/>
        <v>0.5</v>
      </c>
      <c r="AJ170" s="23">
        <f t="shared" si="86"/>
        <v>0.54525483304042188</v>
      </c>
      <c r="AK170" s="23">
        <f t="shared" si="87"/>
        <v>2.1810193321616875</v>
      </c>
      <c r="AL170" s="23">
        <f t="shared" si="88"/>
        <v>4.3620386643233751</v>
      </c>
      <c r="AM170" s="23">
        <f t="shared" si="89"/>
        <v>0</v>
      </c>
      <c r="AN170" s="23">
        <f t="shared" si="90"/>
        <v>4.3620386643233751</v>
      </c>
      <c r="AQ170" s="32">
        <f t="shared" si="91"/>
        <v>42736</v>
      </c>
      <c r="AR170" s="32">
        <f t="shared" si="92"/>
        <v>42916</v>
      </c>
      <c r="AS170" s="50">
        <v>7</v>
      </c>
      <c r="AT170" s="1">
        <f t="shared" si="93"/>
        <v>0</v>
      </c>
      <c r="AU170" s="1">
        <f t="shared" si="94"/>
        <v>0</v>
      </c>
      <c r="AV170" s="1">
        <f t="shared" si="95"/>
        <v>0</v>
      </c>
      <c r="AW170" s="1">
        <f t="shared" si="96"/>
        <v>0</v>
      </c>
      <c r="AX170" s="1">
        <f t="shared" si="97"/>
        <v>90.5</v>
      </c>
      <c r="AY170" s="23">
        <f t="shared" si="98"/>
        <v>0.5</v>
      </c>
      <c r="AZ170" s="23">
        <f t="shared" si="99"/>
        <v>0.54525483304042188</v>
      </c>
      <c r="BA170" s="23">
        <f t="shared" si="100"/>
        <v>1.9083919156414766</v>
      </c>
      <c r="BB170" s="23">
        <f t="shared" si="101"/>
        <v>3.8167838312829532</v>
      </c>
      <c r="BC170" s="23">
        <f t="shared" si="102"/>
        <v>0</v>
      </c>
      <c r="BD170" s="23">
        <f t="shared" si="103"/>
        <v>3.8167838312829532</v>
      </c>
    </row>
    <row r="171" spans="1:56">
      <c r="A171" s="1" t="s">
        <v>20</v>
      </c>
      <c r="B171" s="1" t="s">
        <v>32</v>
      </c>
      <c r="C171" s="1" t="s">
        <v>22</v>
      </c>
      <c r="D171" s="1" t="s">
        <v>33</v>
      </c>
      <c r="E171" s="51" t="s">
        <v>107</v>
      </c>
      <c r="F171" s="51" t="s">
        <v>108</v>
      </c>
      <c r="G171" s="51" t="s">
        <v>109</v>
      </c>
      <c r="H171" s="51" t="s">
        <v>281</v>
      </c>
      <c r="I171" s="1" t="s">
        <v>147</v>
      </c>
      <c r="J171" s="51" t="s">
        <v>112</v>
      </c>
      <c r="K171" s="51" t="s">
        <v>112</v>
      </c>
      <c r="L171" s="51" t="s">
        <v>112</v>
      </c>
      <c r="M171" s="1">
        <v>1967208</v>
      </c>
      <c r="N171" s="50" t="s">
        <v>461</v>
      </c>
      <c r="O171" s="55">
        <f t="shared" si="105"/>
        <v>41953</v>
      </c>
      <c r="P171" s="55">
        <f>DATE(2016,10,31)</f>
        <v>42674</v>
      </c>
      <c r="Q171" s="51">
        <v>1740</v>
      </c>
      <c r="S171" s="51">
        <v>2</v>
      </c>
      <c r="U171" s="1">
        <f t="shared" si="74"/>
        <v>722</v>
      </c>
      <c r="V171" s="31">
        <f t="shared" si="75"/>
        <v>2.4099722991689752</v>
      </c>
      <c r="W171" s="31">
        <f t="shared" si="76"/>
        <v>879.63988919667588</v>
      </c>
      <c r="X171" s="31">
        <f t="shared" si="77"/>
        <v>1.0995498614958448</v>
      </c>
      <c r="AA171" s="32">
        <f t="shared" si="78"/>
        <v>42552</v>
      </c>
      <c r="AB171" s="32">
        <f t="shared" si="79"/>
        <v>42735</v>
      </c>
      <c r="AC171" s="50">
        <v>8</v>
      </c>
      <c r="AD171" s="1">
        <f t="shared" si="80"/>
        <v>0</v>
      </c>
      <c r="AE171" s="1">
        <f t="shared" si="81"/>
        <v>0</v>
      </c>
      <c r="AF171" s="1">
        <f t="shared" si="82"/>
        <v>123</v>
      </c>
      <c r="AG171" s="1">
        <f t="shared" si="83"/>
        <v>0</v>
      </c>
      <c r="AH171" s="1">
        <f t="shared" si="84"/>
        <v>0</v>
      </c>
      <c r="AI171" s="23">
        <f t="shared" si="85"/>
        <v>0.66847826086956519</v>
      </c>
      <c r="AJ171" s="23">
        <f t="shared" si="86"/>
        <v>0.73502517915211363</v>
      </c>
      <c r="AK171" s="23">
        <f t="shared" si="87"/>
        <v>5.880201433216909</v>
      </c>
      <c r="AL171" s="23">
        <f t="shared" si="88"/>
        <v>11.760402866433818</v>
      </c>
      <c r="AM171" s="23">
        <f t="shared" si="89"/>
        <v>0</v>
      </c>
      <c r="AN171" s="23">
        <f t="shared" si="90"/>
        <v>11.760402866433818</v>
      </c>
      <c r="AQ171" s="32">
        <f t="shared" si="91"/>
        <v>42736</v>
      </c>
      <c r="AR171" s="32">
        <f t="shared" si="92"/>
        <v>42916</v>
      </c>
      <c r="AS171" s="50">
        <v>8</v>
      </c>
      <c r="AT171" s="1">
        <f t="shared" si="93"/>
        <v>0</v>
      </c>
      <c r="AU171" s="1">
        <f t="shared" si="94"/>
        <v>0</v>
      </c>
      <c r="AV171" s="1">
        <f t="shared" si="95"/>
        <v>0</v>
      </c>
      <c r="AW171" s="1">
        <f t="shared" si="96"/>
        <v>0</v>
      </c>
      <c r="AX171" s="1">
        <f t="shared" si="97"/>
        <v>90.5</v>
      </c>
      <c r="AY171" s="23">
        <f t="shared" si="98"/>
        <v>0.5</v>
      </c>
      <c r="AZ171" s="23">
        <f t="shared" si="99"/>
        <v>0.54977493074792239</v>
      </c>
      <c r="BA171" s="23">
        <f t="shared" si="100"/>
        <v>2.1990997229916895</v>
      </c>
      <c r="BB171" s="23">
        <f t="shared" si="101"/>
        <v>4.3981994459833791</v>
      </c>
      <c r="BC171" s="23">
        <f t="shared" si="102"/>
        <v>0</v>
      </c>
      <c r="BD171" s="23">
        <f t="shared" si="103"/>
        <v>4.3981994459833791</v>
      </c>
    </row>
    <row r="172" spans="1:56">
      <c r="A172" s="1" t="s">
        <v>20</v>
      </c>
      <c r="B172" s="1" t="s">
        <v>32</v>
      </c>
      <c r="C172" s="1" t="s">
        <v>22</v>
      </c>
      <c r="D172" s="1" t="s">
        <v>33</v>
      </c>
      <c r="E172" s="51" t="s">
        <v>107</v>
      </c>
      <c r="F172" s="51" t="s">
        <v>108</v>
      </c>
      <c r="G172" s="51" t="s">
        <v>109</v>
      </c>
      <c r="H172" s="51" t="s">
        <v>277</v>
      </c>
      <c r="I172" s="1" t="s">
        <v>278</v>
      </c>
      <c r="J172" s="51" t="s">
        <v>112</v>
      </c>
      <c r="K172" s="51" t="s">
        <v>112</v>
      </c>
      <c r="L172" s="51" t="s">
        <v>112</v>
      </c>
      <c r="M172" s="1">
        <v>1967209</v>
      </c>
      <c r="N172" s="50" t="s">
        <v>462</v>
      </c>
      <c r="O172" s="55">
        <f t="shared" si="105"/>
        <v>41953</v>
      </c>
      <c r="P172" s="55">
        <f>DATE(2016,5,31)</f>
        <v>42521</v>
      </c>
      <c r="Q172" s="51">
        <v>1000</v>
      </c>
      <c r="S172" s="51">
        <v>1.5</v>
      </c>
      <c r="U172" s="1">
        <f t="shared" si="74"/>
        <v>569</v>
      </c>
      <c r="V172" s="31">
        <f t="shared" si="75"/>
        <v>1.7574692442882249</v>
      </c>
      <c r="W172" s="31">
        <f t="shared" si="76"/>
        <v>641.47627416520208</v>
      </c>
      <c r="X172" s="31">
        <f t="shared" si="77"/>
        <v>0.80184534270650265</v>
      </c>
      <c r="AA172" s="32">
        <f t="shared" si="78"/>
        <v>42552</v>
      </c>
      <c r="AB172" s="32">
        <f t="shared" si="79"/>
        <v>42735</v>
      </c>
      <c r="AC172" s="50">
        <v>9</v>
      </c>
      <c r="AD172" s="1">
        <f t="shared" si="80"/>
        <v>0</v>
      </c>
      <c r="AE172" s="1">
        <f t="shared" si="81"/>
        <v>0</v>
      </c>
      <c r="AF172" s="1">
        <f t="shared" si="82"/>
        <v>0</v>
      </c>
      <c r="AG172" s="1">
        <f t="shared" si="83"/>
        <v>0</v>
      </c>
      <c r="AH172" s="1">
        <f t="shared" si="84"/>
        <v>92</v>
      </c>
      <c r="AI172" s="23">
        <f t="shared" si="85"/>
        <v>0.5</v>
      </c>
      <c r="AJ172" s="23">
        <f t="shared" si="86"/>
        <v>0.40092267135325133</v>
      </c>
      <c r="AK172" s="23">
        <f t="shared" si="87"/>
        <v>1.8041520210896309</v>
      </c>
      <c r="AL172" s="23">
        <f t="shared" si="88"/>
        <v>2.7062280316344465</v>
      </c>
      <c r="AM172" s="23">
        <f t="shared" si="89"/>
        <v>0</v>
      </c>
      <c r="AN172" s="23">
        <f t="shared" si="90"/>
        <v>2.7062280316344465</v>
      </c>
      <c r="AQ172" s="32">
        <f t="shared" si="91"/>
        <v>42736</v>
      </c>
      <c r="AR172" s="32">
        <f t="shared" si="92"/>
        <v>42916</v>
      </c>
      <c r="AS172" s="50">
        <v>8</v>
      </c>
      <c r="AT172" s="1">
        <f t="shared" si="93"/>
        <v>0</v>
      </c>
      <c r="AU172" s="1">
        <f t="shared" si="94"/>
        <v>0</v>
      </c>
      <c r="AV172" s="1">
        <f t="shared" si="95"/>
        <v>0</v>
      </c>
      <c r="AW172" s="1">
        <f t="shared" si="96"/>
        <v>0</v>
      </c>
      <c r="AX172" s="1">
        <f t="shared" si="97"/>
        <v>90.5</v>
      </c>
      <c r="AY172" s="23">
        <f t="shared" si="98"/>
        <v>0.5</v>
      </c>
      <c r="AZ172" s="23">
        <f t="shared" si="99"/>
        <v>0.40092267135325133</v>
      </c>
      <c r="BA172" s="23">
        <f t="shared" si="100"/>
        <v>1.6036906854130053</v>
      </c>
      <c r="BB172" s="23">
        <f t="shared" si="101"/>
        <v>2.4055360281195082</v>
      </c>
      <c r="BC172" s="23">
        <f t="shared" si="102"/>
        <v>0</v>
      </c>
      <c r="BD172" s="23">
        <f t="shared" si="103"/>
        <v>2.4055360281195082</v>
      </c>
    </row>
    <row r="173" spans="1:56">
      <c r="A173" s="1" t="s">
        <v>20</v>
      </c>
      <c r="B173" s="1" t="s">
        <v>32</v>
      </c>
      <c r="C173" s="1" t="s">
        <v>22</v>
      </c>
      <c r="D173" s="1" t="s">
        <v>33</v>
      </c>
      <c r="E173" s="51" t="s">
        <v>107</v>
      </c>
      <c r="F173" s="51" t="s">
        <v>108</v>
      </c>
      <c r="G173" s="51" t="s">
        <v>109</v>
      </c>
      <c r="H173" s="51" t="s">
        <v>110</v>
      </c>
      <c r="I173" s="1" t="s">
        <v>111</v>
      </c>
      <c r="J173" s="51" t="s">
        <v>112</v>
      </c>
      <c r="K173" s="51" t="s">
        <v>112</v>
      </c>
      <c r="L173" s="51" t="s">
        <v>112</v>
      </c>
      <c r="M173" s="1">
        <v>1967210</v>
      </c>
      <c r="N173" s="50" t="s">
        <v>463</v>
      </c>
      <c r="O173" s="55">
        <f t="shared" si="105"/>
        <v>41953</v>
      </c>
      <c r="P173" s="55">
        <f>DATE(2016,5,31)</f>
        <v>42521</v>
      </c>
      <c r="Q173" s="51">
        <v>1080</v>
      </c>
      <c r="S173" s="51">
        <v>2</v>
      </c>
      <c r="U173" s="1">
        <f t="shared" si="74"/>
        <v>569</v>
      </c>
      <c r="V173" s="31">
        <f t="shared" si="75"/>
        <v>1.898066783831283</v>
      </c>
      <c r="W173" s="31">
        <f t="shared" si="76"/>
        <v>692.7943760984183</v>
      </c>
      <c r="X173" s="31">
        <f t="shared" si="77"/>
        <v>0.8659929701230229</v>
      </c>
      <c r="AA173" s="32">
        <f t="shared" si="78"/>
        <v>42552</v>
      </c>
      <c r="AB173" s="32">
        <f t="shared" si="79"/>
        <v>42735</v>
      </c>
      <c r="AC173" s="50">
        <v>6</v>
      </c>
      <c r="AD173" s="1">
        <f t="shared" si="80"/>
        <v>0</v>
      </c>
      <c r="AE173" s="1">
        <f t="shared" si="81"/>
        <v>0</v>
      </c>
      <c r="AF173" s="1">
        <f t="shared" si="82"/>
        <v>0</v>
      </c>
      <c r="AG173" s="1">
        <f t="shared" si="83"/>
        <v>0</v>
      </c>
      <c r="AH173" s="1">
        <f t="shared" si="84"/>
        <v>92</v>
      </c>
      <c r="AI173" s="23">
        <f t="shared" si="85"/>
        <v>0.5</v>
      </c>
      <c r="AJ173" s="23">
        <f t="shared" si="86"/>
        <v>0.43299648506151145</v>
      </c>
      <c r="AK173" s="23">
        <f t="shared" si="87"/>
        <v>1.2989894551845342</v>
      </c>
      <c r="AL173" s="23">
        <f t="shared" si="88"/>
        <v>2.5979789103690685</v>
      </c>
      <c r="AM173" s="23">
        <f t="shared" si="89"/>
        <v>0</v>
      </c>
      <c r="AN173" s="23">
        <f t="shared" si="90"/>
        <v>2.5979789103690685</v>
      </c>
      <c r="AQ173" s="32">
        <f t="shared" si="91"/>
        <v>42736</v>
      </c>
      <c r="AR173" s="32">
        <f t="shared" si="92"/>
        <v>42916</v>
      </c>
      <c r="AS173" s="50">
        <v>6</v>
      </c>
      <c r="AT173" s="1">
        <f t="shared" si="93"/>
        <v>0</v>
      </c>
      <c r="AU173" s="1">
        <f t="shared" si="94"/>
        <v>0</v>
      </c>
      <c r="AV173" s="1">
        <f t="shared" si="95"/>
        <v>0</v>
      </c>
      <c r="AW173" s="1">
        <f t="shared" si="96"/>
        <v>0</v>
      </c>
      <c r="AX173" s="1">
        <f t="shared" si="97"/>
        <v>90.5</v>
      </c>
      <c r="AY173" s="23">
        <f t="shared" si="98"/>
        <v>0.5</v>
      </c>
      <c r="AZ173" s="23">
        <f t="shared" si="99"/>
        <v>0.43299648506151145</v>
      </c>
      <c r="BA173" s="23">
        <f t="shared" si="100"/>
        <v>1.2989894551845342</v>
      </c>
      <c r="BB173" s="23">
        <f t="shared" si="101"/>
        <v>2.5979789103690685</v>
      </c>
      <c r="BC173" s="23">
        <f t="shared" si="102"/>
        <v>0</v>
      </c>
      <c r="BD173" s="23">
        <f t="shared" si="103"/>
        <v>2.5979789103690685</v>
      </c>
    </row>
    <row r="174" spans="1:56">
      <c r="A174" s="1" t="s">
        <v>20</v>
      </c>
      <c r="B174" s="1" t="s">
        <v>32</v>
      </c>
      <c r="C174" s="1" t="s">
        <v>22</v>
      </c>
      <c r="D174" s="1" t="s">
        <v>33</v>
      </c>
      <c r="E174" s="51" t="s">
        <v>107</v>
      </c>
      <c r="F174" s="51" t="s">
        <v>108</v>
      </c>
      <c r="G174" s="51" t="s">
        <v>109</v>
      </c>
      <c r="H174" s="51" t="s">
        <v>429</v>
      </c>
      <c r="I174" s="1" t="s">
        <v>131</v>
      </c>
      <c r="J174" s="51" t="s">
        <v>112</v>
      </c>
      <c r="K174" s="51" t="s">
        <v>112</v>
      </c>
      <c r="L174" s="51" t="s">
        <v>112</v>
      </c>
      <c r="M174" s="1">
        <v>1967211</v>
      </c>
      <c r="N174" s="50" t="s">
        <v>464</v>
      </c>
      <c r="O174" s="55">
        <f t="shared" si="105"/>
        <v>41953</v>
      </c>
      <c r="P174" s="55">
        <f>DATE(2016,10,31)</f>
        <v>42674</v>
      </c>
      <c r="Q174" s="51">
        <v>1480</v>
      </c>
      <c r="S174" s="51">
        <v>1</v>
      </c>
      <c r="U174" s="1">
        <f t="shared" si="74"/>
        <v>722</v>
      </c>
      <c r="V174" s="31">
        <f t="shared" si="75"/>
        <v>2.0498614958448753</v>
      </c>
      <c r="W174" s="31">
        <f t="shared" si="76"/>
        <v>748.19944598337952</v>
      </c>
      <c r="X174" s="31">
        <f t="shared" si="77"/>
        <v>0.93524930747922441</v>
      </c>
      <c r="AA174" s="32">
        <f t="shared" si="78"/>
        <v>42552</v>
      </c>
      <c r="AB174" s="32">
        <f t="shared" si="79"/>
        <v>42735</v>
      </c>
      <c r="AC174" s="50">
        <v>11</v>
      </c>
      <c r="AD174" s="1">
        <f t="shared" si="80"/>
        <v>0</v>
      </c>
      <c r="AE174" s="1">
        <f t="shared" si="81"/>
        <v>0</v>
      </c>
      <c r="AF174" s="1">
        <f t="shared" si="82"/>
        <v>123</v>
      </c>
      <c r="AG174" s="1">
        <f t="shared" si="83"/>
        <v>0</v>
      </c>
      <c r="AH174" s="1">
        <f t="shared" si="84"/>
        <v>0</v>
      </c>
      <c r="AI174" s="23">
        <f t="shared" si="85"/>
        <v>0.66847826086956519</v>
      </c>
      <c r="AJ174" s="23">
        <f t="shared" si="86"/>
        <v>0.62519383054317712</v>
      </c>
      <c r="AK174" s="23">
        <f t="shared" si="87"/>
        <v>6.8771321359749482</v>
      </c>
      <c r="AL174" s="23">
        <f t="shared" si="88"/>
        <v>6.8771321359749482</v>
      </c>
      <c r="AM174" s="23">
        <f t="shared" si="89"/>
        <v>0</v>
      </c>
      <c r="AN174" s="23">
        <f t="shared" si="90"/>
        <v>6.8771321359749482</v>
      </c>
      <c r="AQ174" s="32">
        <f t="shared" si="91"/>
        <v>42736</v>
      </c>
      <c r="AR174" s="32">
        <f t="shared" si="92"/>
        <v>42916</v>
      </c>
      <c r="AS174" s="50">
        <v>11</v>
      </c>
      <c r="AT174" s="1">
        <f t="shared" si="93"/>
        <v>0</v>
      </c>
      <c r="AU174" s="1">
        <f t="shared" si="94"/>
        <v>0</v>
      </c>
      <c r="AV174" s="1">
        <f t="shared" si="95"/>
        <v>0</v>
      </c>
      <c r="AW174" s="1">
        <f t="shared" si="96"/>
        <v>0</v>
      </c>
      <c r="AX174" s="1">
        <f t="shared" si="97"/>
        <v>90.5</v>
      </c>
      <c r="AY174" s="23">
        <f t="shared" si="98"/>
        <v>0.5</v>
      </c>
      <c r="AZ174" s="23">
        <f t="shared" si="99"/>
        <v>0.46762465373961221</v>
      </c>
      <c r="BA174" s="23">
        <f t="shared" si="100"/>
        <v>2.5719355955678673</v>
      </c>
      <c r="BB174" s="23">
        <f t="shared" si="101"/>
        <v>2.5719355955678673</v>
      </c>
      <c r="BC174" s="23">
        <f t="shared" si="102"/>
        <v>0</v>
      </c>
      <c r="BD174" s="23">
        <f t="shared" si="103"/>
        <v>2.5719355955678673</v>
      </c>
    </row>
    <row r="175" spans="1:56">
      <c r="A175" s="1" t="s">
        <v>20</v>
      </c>
      <c r="B175" s="1" t="s">
        <v>32</v>
      </c>
      <c r="C175" s="1" t="s">
        <v>22</v>
      </c>
      <c r="D175" s="1" t="s">
        <v>33</v>
      </c>
      <c r="E175" s="51" t="s">
        <v>107</v>
      </c>
      <c r="F175" s="51" t="s">
        <v>108</v>
      </c>
      <c r="G175" s="51" t="s">
        <v>109</v>
      </c>
      <c r="H175" s="51" t="s">
        <v>290</v>
      </c>
      <c r="I175" s="1" t="s">
        <v>125</v>
      </c>
      <c r="J175" s="51" t="s">
        <v>112</v>
      </c>
      <c r="K175" s="51" t="s">
        <v>112</v>
      </c>
      <c r="L175" s="51" t="s">
        <v>112</v>
      </c>
      <c r="M175" s="1">
        <v>1967214</v>
      </c>
      <c r="N175" s="50" t="s">
        <v>465</v>
      </c>
      <c r="O175" s="55">
        <f t="shared" si="105"/>
        <v>41953</v>
      </c>
      <c r="P175" s="55">
        <f>DATE(2016,5,31)</f>
        <v>42521</v>
      </c>
      <c r="Q175" s="51">
        <v>1476</v>
      </c>
      <c r="S175" s="51">
        <v>2.5</v>
      </c>
      <c r="U175" s="1">
        <f t="shared" si="74"/>
        <v>569</v>
      </c>
      <c r="V175" s="31">
        <f t="shared" si="75"/>
        <v>2.59402460456942</v>
      </c>
      <c r="W175" s="31">
        <f t="shared" si="76"/>
        <v>946.81898066783833</v>
      </c>
      <c r="X175" s="31">
        <f t="shared" si="77"/>
        <v>1.1835237258347979</v>
      </c>
      <c r="AA175" s="32">
        <f t="shared" si="78"/>
        <v>42552</v>
      </c>
      <c r="AB175" s="32">
        <f t="shared" si="79"/>
        <v>42735</v>
      </c>
      <c r="AC175" s="50">
        <v>11</v>
      </c>
      <c r="AD175" s="1">
        <f t="shared" si="80"/>
        <v>0</v>
      </c>
      <c r="AE175" s="1">
        <f t="shared" si="81"/>
        <v>0</v>
      </c>
      <c r="AF175" s="1">
        <f t="shared" si="82"/>
        <v>0</v>
      </c>
      <c r="AG175" s="1">
        <f t="shared" si="83"/>
        <v>0</v>
      </c>
      <c r="AH175" s="1">
        <f t="shared" si="84"/>
        <v>92</v>
      </c>
      <c r="AI175" s="23">
        <f t="shared" si="85"/>
        <v>0.5</v>
      </c>
      <c r="AJ175" s="23">
        <f t="shared" si="86"/>
        <v>0.59176186291739896</v>
      </c>
      <c r="AK175" s="23">
        <f t="shared" si="87"/>
        <v>3.2546902460456941</v>
      </c>
      <c r="AL175" s="23">
        <f t="shared" si="88"/>
        <v>8.1367256151142353</v>
      </c>
      <c r="AM175" s="23">
        <f t="shared" si="89"/>
        <v>0</v>
      </c>
      <c r="AN175" s="23">
        <f t="shared" si="90"/>
        <v>8.1367256151142353</v>
      </c>
      <c r="AQ175" s="32">
        <f t="shared" si="91"/>
        <v>42736</v>
      </c>
      <c r="AR175" s="32">
        <f t="shared" si="92"/>
        <v>42916</v>
      </c>
      <c r="AS175" s="50">
        <v>7</v>
      </c>
      <c r="AT175" s="1">
        <f t="shared" si="93"/>
        <v>0</v>
      </c>
      <c r="AU175" s="1">
        <f t="shared" si="94"/>
        <v>0</v>
      </c>
      <c r="AV175" s="1">
        <f t="shared" si="95"/>
        <v>0</v>
      </c>
      <c r="AW175" s="1">
        <f t="shared" si="96"/>
        <v>0</v>
      </c>
      <c r="AX175" s="1">
        <f t="shared" si="97"/>
        <v>90.5</v>
      </c>
      <c r="AY175" s="23">
        <f t="shared" si="98"/>
        <v>0.5</v>
      </c>
      <c r="AZ175" s="23">
        <f t="shared" si="99"/>
        <v>0.59176186291739896</v>
      </c>
      <c r="BA175" s="23">
        <f t="shared" si="100"/>
        <v>2.0711665202108964</v>
      </c>
      <c r="BB175" s="23">
        <f t="shared" si="101"/>
        <v>5.1779163005272411</v>
      </c>
      <c r="BC175" s="23">
        <f t="shared" si="102"/>
        <v>0</v>
      </c>
      <c r="BD175" s="23">
        <f t="shared" si="103"/>
        <v>5.1779163005272411</v>
      </c>
    </row>
    <row r="176" spans="1:56">
      <c r="A176" s="1" t="s">
        <v>20</v>
      </c>
      <c r="B176" s="1" t="s">
        <v>32</v>
      </c>
      <c r="C176" s="1" t="s">
        <v>22</v>
      </c>
      <c r="D176" s="1" t="s">
        <v>33</v>
      </c>
      <c r="E176" s="51" t="s">
        <v>107</v>
      </c>
      <c r="F176" s="51" t="s">
        <v>108</v>
      </c>
      <c r="G176" s="51" t="s">
        <v>109</v>
      </c>
      <c r="H176" s="51" t="s">
        <v>351</v>
      </c>
      <c r="I176" s="1" t="s">
        <v>125</v>
      </c>
      <c r="J176" s="51" t="s">
        <v>112</v>
      </c>
      <c r="K176" s="51" t="s">
        <v>112</v>
      </c>
      <c r="L176" s="51" t="s">
        <v>112</v>
      </c>
      <c r="M176" s="1">
        <v>1968657</v>
      </c>
      <c r="N176" s="50" t="s">
        <v>466</v>
      </c>
      <c r="O176" s="55">
        <f>DATE(2012,11,1)</f>
        <v>41214</v>
      </c>
      <c r="P176" s="55">
        <f>DATE(2014,6,30)</f>
        <v>41820</v>
      </c>
      <c r="Q176" s="51">
        <v>1360</v>
      </c>
      <c r="S176" s="51">
        <v>2</v>
      </c>
      <c r="U176" s="1">
        <f t="shared" si="74"/>
        <v>607</v>
      </c>
      <c r="V176" s="31">
        <f t="shared" si="75"/>
        <v>2.2405271828665567</v>
      </c>
      <c r="W176" s="31">
        <f t="shared" si="76"/>
        <v>817.79242174629326</v>
      </c>
      <c r="X176" s="31">
        <f t="shared" si="77"/>
        <v>1.0222405271828665</v>
      </c>
      <c r="AA176" s="32">
        <f t="shared" si="78"/>
        <v>42552</v>
      </c>
      <c r="AB176" s="32">
        <f t="shared" si="79"/>
        <v>42735</v>
      </c>
      <c r="AC176" s="50">
        <v>2</v>
      </c>
      <c r="AD176" s="1">
        <f t="shared" si="80"/>
        <v>0</v>
      </c>
      <c r="AE176" s="1">
        <f t="shared" si="81"/>
        <v>0</v>
      </c>
      <c r="AF176" s="1">
        <f t="shared" si="82"/>
        <v>0</v>
      </c>
      <c r="AG176" s="1">
        <f t="shared" si="83"/>
        <v>0</v>
      </c>
      <c r="AH176" s="1">
        <f t="shared" si="84"/>
        <v>92</v>
      </c>
      <c r="AI176" s="23">
        <f t="shared" si="85"/>
        <v>0.5</v>
      </c>
      <c r="AJ176" s="23">
        <f t="shared" si="86"/>
        <v>0.51112026359143325</v>
      </c>
      <c r="AK176" s="23">
        <f t="shared" si="87"/>
        <v>0.51112026359143325</v>
      </c>
      <c r="AL176" s="23">
        <f t="shared" si="88"/>
        <v>1.0222405271828665</v>
      </c>
      <c r="AM176" s="23">
        <f t="shared" si="89"/>
        <v>0</v>
      </c>
      <c r="AN176" s="23">
        <f t="shared" si="90"/>
        <v>1.0222405271828665</v>
      </c>
      <c r="AQ176" s="32">
        <f t="shared" si="91"/>
        <v>42736</v>
      </c>
      <c r="AR176" s="32">
        <f t="shared" si="92"/>
        <v>42916</v>
      </c>
      <c r="AS176" s="50">
        <v>2</v>
      </c>
      <c r="AT176" s="1">
        <f t="shared" si="93"/>
        <v>0</v>
      </c>
      <c r="AU176" s="1">
        <f t="shared" si="94"/>
        <v>0</v>
      </c>
      <c r="AV176" s="1">
        <f t="shared" si="95"/>
        <v>0</v>
      </c>
      <c r="AW176" s="1">
        <f t="shared" si="96"/>
        <v>0</v>
      </c>
      <c r="AX176" s="1">
        <f t="shared" si="97"/>
        <v>90.5</v>
      </c>
      <c r="AY176" s="23">
        <f t="shared" si="98"/>
        <v>0.5</v>
      </c>
      <c r="AZ176" s="23">
        <f t="shared" si="99"/>
        <v>0.51112026359143325</v>
      </c>
      <c r="BA176" s="23">
        <f t="shared" si="100"/>
        <v>0.51112026359143325</v>
      </c>
      <c r="BB176" s="23">
        <f t="shared" si="101"/>
        <v>1.0222405271828665</v>
      </c>
      <c r="BC176" s="23">
        <f t="shared" si="102"/>
        <v>0</v>
      </c>
      <c r="BD176" s="23">
        <f t="shared" si="103"/>
        <v>1.0222405271828665</v>
      </c>
    </row>
    <row r="177" spans="1:56">
      <c r="A177" s="1" t="s">
        <v>20</v>
      </c>
      <c r="B177" s="1" t="s">
        <v>32</v>
      </c>
      <c r="C177" s="1" t="s">
        <v>22</v>
      </c>
      <c r="D177" s="1" t="s">
        <v>33</v>
      </c>
      <c r="E177" s="51" t="s">
        <v>154</v>
      </c>
      <c r="F177" s="51" t="s">
        <v>108</v>
      </c>
      <c r="G177" s="51" t="s">
        <v>109</v>
      </c>
      <c r="H177" s="51" t="s">
        <v>166</v>
      </c>
      <c r="I177" s="1" t="s">
        <v>167</v>
      </c>
      <c r="J177" s="51" t="s">
        <v>112</v>
      </c>
      <c r="K177" s="51" t="s">
        <v>112</v>
      </c>
      <c r="L177" s="51" t="s">
        <v>148</v>
      </c>
      <c r="M177" s="1">
        <v>1972326</v>
      </c>
      <c r="N177" s="50" t="s">
        <v>467</v>
      </c>
      <c r="O177" s="55">
        <f>DATE(2014,10,1)</f>
        <v>41913</v>
      </c>
      <c r="P177" s="55">
        <f>DATE(2016,11,30)</f>
        <v>42704</v>
      </c>
      <c r="Q177" s="51">
        <v>1680</v>
      </c>
      <c r="S177" s="51">
        <v>1.5</v>
      </c>
      <c r="U177" s="1">
        <f t="shared" si="74"/>
        <v>792</v>
      </c>
      <c r="V177" s="31">
        <f t="shared" si="75"/>
        <v>2.1212121212121211</v>
      </c>
      <c r="W177" s="31">
        <f t="shared" si="76"/>
        <v>774.24242424242425</v>
      </c>
      <c r="X177" s="31">
        <f t="shared" si="77"/>
        <v>0.96780303030303028</v>
      </c>
      <c r="AA177" s="32">
        <f t="shared" si="78"/>
        <v>42552</v>
      </c>
      <c r="AB177" s="32">
        <f t="shared" si="79"/>
        <v>42735</v>
      </c>
      <c r="AC177" s="50">
        <v>7</v>
      </c>
      <c r="AD177" s="1">
        <f t="shared" si="80"/>
        <v>0</v>
      </c>
      <c r="AE177" s="1">
        <f t="shared" si="81"/>
        <v>0</v>
      </c>
      <c r="AF177" s="1">
        <f t="shared" si="82"/>
        <v>153</v>
      </c>
      <c r="AG177" s="1">
        <f t="shared" si="83"/>
        <v>0</v>
      </c>
      <c r="AH177" s="1">
        <f t="shared" si="84"/>
        <v>0</v>
      </c>
      <c r="AI177" s="23">
        <f t="shared" si="85"/>
        <v>0.83152173913043481</v>
      </c>
      <c r="AJ177" s="23">
        <f t="shared" si="86"/>
        <v>0.80474925889328064</v>
      </c>
      <c r="AK177" s="23">
        <f t="shared" si="87"/>
        <v>5.6332448122529648</v>
      </c>
      <c r="AL177" s="23">
        <f t="shared" si="88"/>
        <v>8.4498672183794472</v>
      </c>
      <c r="AM177" s="23">
        <f t="shared" si="89"/>
        <v>0</v>
      </c>
      <c r="AN177" s="23">
        <f t="shared" si="90"/>
        <v>8.4498672183794472</v>
      </c>
      <c r="AQ177" s="32">
        <f t="shared" si="91"/>
        <v>42736</v>
      </c>
      <c r="AR177" s="32">
        <f t="shared" si="92"/>
        <v>42916</v>
      </c>
      <c r="AS177" s="50">
        <v>7</v>
      </c>
      <c r="AT177" s="1">
        <f t="shared" si="93"/>
        <v>0</v>
      </c>
      <c r="AU177" s="1">
        <f t="shared" si="94"/>
        <v>0</v>
      </c>
      <c r="AV177" s="1">
        <f t="shared" si="95"/>
        <v>0</v>
      </c>
      <c r="AW177" s="1">
        <f t="shared" si="96"/>
        <v>0</v>
      </c>
      <c r="AX177" s="1">
        <f t="shared" si="97"/>
        <v>90.5</v>
      </c>
      <c r="AY177" s="23">
        <f t="shared" si="98"/>
        <v>0.5</v>
      </c>
      <c r="AZ177" s="23">
        <f t="shared" si="99"/>
        <v>0.48390151515151514</v>
      </c>
      <c r="BA177" s="23">
        <f t="shared" si="100"/>
        <v>1.693655303030303</v>
      </c>
      <c r="BB177" s="23">
        <f t="shared" si="101"/>
        <v>2.5404829545454546</v>
      </c>
      <c r="BC177" s="23">
        <f t="shared" si="102"/>
        <v>0</v>
      </c>
      <c r="BD177" s="23">
        <f t="shared" si="103"/>
        <v>2.5404829545454546</v>
      </c>
    </row>
    <row r="178" spans="1:56">
      <c r="A178" s="1" t="s">
        <v>20</v>
      </c>
      <c r="B178" s="1" t="s">
        <v>32</v>
      </c>
      <c r="C178" s="1" t="s">
        <v>22</v>
      </c>
      <c r="D178" s="1" t="s">
        <v>33</v>
      </c>
      <c r="E178" s="51" t="s">
        <v>154</v>
      </c>
      <c r="F178" s="51" t="s">
        <v>108</v>
      </c>
      <c r="G178" s="51" t="s">
        <v>109</v>
      </c>
      <c r="H178" s="51" t="s">
        <v>166</v>
      </c>
      <c r="I178" s="1" t="s">
        <v>167</v>
      </c>
      <c r="J178" s="51" t="s">
        <v>112</v>
      </c>
      <c r="K178" s="51" t="s">
        <v>112</v>
      </c>
      <c r="L178" s="51" t="s">
        <v>148</v>
      </c>
      <c r="M178" s="1">
        <v>1972692</v>
      </c>
      <c r="N178" s="50" t="s">
        <v>467</v>
      </c>
      <c r="O178" s="55">
        <f>DATE(2014,10,1)</f>
        <v>41913</v>
      </c>
      <c r="P178" s="55">
        <f>DATE(2016,11,30)</f>
        <v>42704</v>
      </c>
      <c r="Q178" s="51">
        <v>1680</v>
      </c>
      <c r="S178" s="51">
        <v>1.5</v>
      </c>
      <c r="U178" s="1">
        <f t="shared" si="74"/>
        <v>792</v>
      </c>
      <c r="V178" s="31">
        <f t="shared" si="75"/>
        <v>2.1212121212121211</v>
      </c>
      <c r="W178" s="31">
        <f t="shared" si="76"/>
        <v>774.24242424242425</v>
      </c>
      <c r="X178" s="31">
        <f t="shared" si="77"/>
        <v>0.96780303030303028</v>
      </c>
      <c r="AA178" s="32">
        <f t="shared" si="78"/>
        <v>42552</v>
      </c>
      <c r="AB178" s="32">
        <f t="shared" si="79"/>
        <v>42735</v>
      </c>
      <c r="AC178" s="50">
        <v>5</v>
      </c>
      <c r="AD178" s="1">
        <f t="shared" si="80"/>
        <v>0</v>
      </c>
      <c r="AE178" s="1">
        <f t="shared" si="81"/>
        <v>0</v>
      </c>
      <c r="AF178" s="1">
        <f t="shared" si="82"/>
        <v>153</v>
      </c>
      <c r="AG178" s="1">
        <f t="shared" si="83"/>
        <v>0</v>
      </c>
      <c r="AH178" s="1">
        <f t="shared" si="84"/>
        <v>0</v>
      </c>
      <c r="AI178" s="23">
        <f t="shared" si="85"/>
        <v>0.83152173913043481</v>
      </c>
      <c r="AJ178" s="23">
        <f t="shared" si="86"/>
        <v>0.80474925889328064</v>
      </c>
      <c r="AK178" s="23">
        <f t="shared" si="87"/>
        <v>4.0237462944664033</v>
      </c>
      <c r="AL178" s="23">
        <f t="shared" si="88"/>
        <v>6.0356194416996054</v>
      </c>
      <c r="AM178" s="23">
        <f t="shared" si="89"/>
        <v>0</v>
      </c>
      <c r="AN178" s="23">
        <f t="shared" si="90"/>
        <v>6.0356194416996054</v>
      </c>
      <c r="AQ178" s="32">
        <f t="shared" si="91"/>
        <v>42736</v>
      </c>
      <c r="AR178" s="32">
        <f t="shared" si="92"/>
        <v>42916</v>
      </c>
      <c r="AS178" s="50">
        <v>5</v>
      </c>
      <c r="AT178" s="1">
        <f t="shared" si="93"/>
        <v>0</v>
      </c>
      <c r="AU178" s="1">
        <f t="shared" si="94"/>
        <v>0</v>
      </c>
      <c r="AV178" s="1">
        <f t="shared" si="95"/>
        <v>0</v>
      </c>
      <c r="AW178" s="1">
        <f t="shared" si="96"/>
        <v>0</v>
      </c>
      <c r="AX178" s="1">
        <f t="shared" si="97"/>
        <v>90.5</v>
      </c>
      <c r="AY178" s="23">
        <f t="shared" si="98"/>
        <v>0.5</v>
      </c>
      <c r="AZ178" s="23">
        <f t="shared" si="99"/>
        <v>0.48390151515151514</v>
      </c>
      <c r="BA178" s="23">
        <f t="shared" si="100"/>
        <v>1.2097537878787878</v>
      </c>
      <c r="BB178" s="23">
        <f t="shared" si="101"/>
        <v>1.8146306818181817</v>
      </c>
      <c r="BC178" s="23">
        <f t="shared" si="102"/>
        <v>0</v>
      </c>
      <c r="BD178" s="23">
        <f t="shared" si="103"/>
        <v>1.8146306818181817</v>
      </c>
    </row>
    <row r="179" spans="1:56">
      <c r="A179" s="1" t="s">
        <v>20</v>
      </c>
      <c r="B179" s="1" t="s">
        <v>32</v>
      </c>
      <c r="C179" s="1" t="s">
        <v>22</v>
      </c>
      <c r="D179" s="1" t="s">
        <v>33</v>
      </c>
      <c r="E179" s="51" t="s">
        <v>154</v>
      </c>
      <c r="F179" s="51" t="s">
        <v>108</v>
      </c>
      <c r="G179" s="51" t="s">
        <v>109</v>
      </c>
      <c r="H179" s="51" t="s">
        <v>224</v>
      </c>
      <c r="I179" s="1" t="s">
        <v>167</v>
      </c>
      <c r="J179" s="51" t="s">
        <v>112</v>
      </c>
      <c r="K179" s="51" t="s">
        <v>112</v>
      </c>
      <c r="L179" s="51" t="s">
        <v>148</v>
      </c>
      <c r="M179" s="1">
        <v>1972694</v>
      </c>
      <c r="N179" s="50" t="s">
        <v>468</v>
      </c>
      <c r="O179" s="55">
        <f>DATE(2014,10,1)</f>
        <v>41913</v>
      </c>
      <c r="P179" s="55">
        <f>DATE(2016,11,30)</f>
        <v>42704</v>
      </c>
      <c r="Q179" s="51">
        <v>1680</v>
      </c>
      <c r="S179" s="51">
        <v>1</v>
      </c>
      <c r="U179" s="1">
        <f t="shared" si="74"/>
        <v>792</v>
      </c>
      <c r="V179" s="31">
        <f t="shared" si="75"/>
        <v>2.1212121212121211</v>
      </c>
      <c r="W179" s="31">
        <f t="shared" si="76"/>
        <v>774.24242424242425</v>
      </c>
      <c r="X179" s="31">
        <f t="shared" si="77"/>
        <v>0.96780303030303028</v>
      </c>
      <c r="AA179" s="32">
        <f t="shared" si="78"/>
        <v>42552</v>
      </c>
      <c r="AB179" s="32">
        <f t="shared" si="79"/>
        <v>42735</v>
      </c>
      <c r="AC179" s="50">
        <v>19</v>
      </c>
      <c r="AD179" s="1">
        <f t="shared" si="80"/>
        <v>0</v>
      </c>
      <c r="AE179" s="1">
        <f t="shared" si="81"/>
        <v>0</v>
      </c>
      <c r="AF179" s="1">
        <f t="shared" si="82"/>
        <v>153</v>
      </c>
      <c r="AG179" s="1">
        <f t="shared" si="83"/>
        <v>0</v>
      </c>
      <c r="AH179" s="1">
        <f t="shared" si="84"/>
        <v>0</v>
      </c>
      <c r="AI179" s="23">
        <f t="shared" si="85"/>
        <v>0.83152173913043481</v>
      </c>
      <c r="AJ179" s="23">
        <f t="shared" si="86"/>
        <v>0.80474925889328064</v>
      </c>
      <c r="AK179" s="23">
        <f t="shared" si="87"/>
        <v>15.290235918972332</v>
      </c>
      <c r="AL179" s="23">
        <f t="shared" si="88"/>
        <v>15.290235918972332</v>
      </c>
      <c r="AM179" s="23">
        <f t="shared" si="89"/>
        <v>0</v>
      </c>
      <c r="AN179" s="23">
        <f t="shared" si="90"/>
        <v>15.290235918972332</v>
      </c>
      <c r="AQ179" s="32">
        <f t="shared" si="91"/>
        <v>42736</v>
      </c>
      <c r="AR179" s="32">
        <f t="shared" si="92"/>
        <v>42916</v>
      </c>
      <c r="AS179" s="50">
        <v>19</v>
      </c>
      <c r="AT179" s="1">
        <f t="shared" si="93"/>
        <v>0</v>
      </c>
      <c r="AU179" s="1">
        <f t="shared" si="94"/>
        <v>0</v>
      </c>
      <c r="AV179" s="1">
        <f t="shared" si="95"/>
        <v>0</v>
      </c>
      <c r="AW179" s="1">
        <f t="shared" si="96"/>
        <v>0</v>
      </c>
      <c r="AX179" s="1">
        <f t="shared" si="97"/>
        <v>90.5</v>
      </c>
      <c r="AY179" s="23">
        <f t="shared" si="98"/>
        <v>0.5</v>
      </c>
      <c r="AZ179" s="23">
        <f t="shared" si="99"/>
        <v>0.48390151515151514</v>
      </c>
      <c r="BA179" s="23">
        <f t="shared" si="100"/>
        <v>4.5970643939393936</v>
      </c>
      <c r="BB179" s="23">
        <f t="shared" si="101"/>
        <v>4.5970643939393936</v>
      </c>
      <c r="BC179" s="23">
        <f t="shared" si="102"/>
        <v>0</v>
      </c>
      <c r="BD179" s="23">
        <f t="shared" si="103"/>
        <v>4.5970643939393936</v>
      </c>
    </row>
    <row r="180" spans="1:56">
      <c r="A180" s="1" t="s">
        <v>20</v>
      </c>
      <c r="B180" s="1" t="s">
        <v>32</v>
      </c>
      <c r="C180" s="1" t="s">
        <v>22</v>
      </c>
      <c r="D180" s="1" t="s">
        <v>33</v>
      </c>
      <c r="E180" s="51" t="s">
        <v>154</v>
      </c>
      <c r="F180" s="51" t="s">
        <v>108</v>
      </c>
      <c r="G180" s="51" t="s">
        <v>109</v>
      </c>
      <c r="H180" s="51" t="s">
        <v>110</v>
      </c>
      <c r="I180" s="1" t="s">
        <v>111</v>
      </c>
      <c r="J180" s="51" t="s">
        <v>112</v>
      </c>
      <c r="K180" s="51" t="s">
        <v>112</v>
      </c>
      <c r="L180" s="51" t="s">
        <v>148</v>
      </c>
      <c r="M180" s="1">
        <v>1972697</v>
      </c>
      <c r="N180" s="50" t="s">
        <v>469</v>
      </c>
      <c r="O180" s="55">
        <f>DATE(2014,10,1)</f>
        <v>41913</v>
      </c>
      <c r="P180" s="55">
        <f>DATE(2016,11,30)</f>
        <v>42704</v>
      </c>
      <c r="Q180" s="51">
        <v>1200</v>
      </c>
      <c r="S180" s="51">
        <v>2</v>
      </c>
      <c r="U180" s="1">
        <f t="shared" si="74"/>
        <v>792</v>
      </c>
      <c r="V180" s="31">
        <f t="shared" si="75"/>
        <v>1.5151515151515151</v>
      </c>
      <c r="W180" s="31">
        <f t="shared" si="76"/>
        <v>553.030303030303</v>
      </c>
      <c r="X180" s="31">
        <f t="shared" si="77"/>
        <v>0.69128787878787878</v>
      </c>
      <c r="AA180" s="32">
        <f t="shared" si="78"/>
        <v>42552</v>
      </c>
      <c r="AB180" s="32">
        <f t="shared" si="79"/>
        <v>42735</v>
      </c>
      <c r="AC180" s="50">
        <v>12</v>
      </c>
      <c r="AD180" s="1">
        <f t="shared" si="80"/>
        <v>0</v>
      </c>
      <c r="AE180" s="1">
        <f t="shared" si="81"/>
        <v>0</v>
      </c>
      <c r="AF180" s="1">
        <f t="shared" si="82"/>
        <v>153</v>
      </c>
      <c r="AG180" s="1">
        <f t="shared" si="83"/>
        <v>0</v>
      </c>
      <c r="AH180" s="1">
        <f t="shared" si="84"/>
        <v>0</v>
      </c>
      <c r="AI180" s="23">
        <f t="shared" si="85"/>
        <v>0.83152173913043481</v>
      </c>
      <c r="AJ180" s="23">
        <f t="shared" si="86"/>
        <v>0.5748208992094862</v>
      </c>
      <c r="AK180" s="23">
        <f t="shared" si="87"/>
        <v>6.897850790513834</v>
      </c>
      <c r="AL180" s="23">
        <f t="shared" si="88"/>
        <v>13.795701581027668</v>
      </c>
      <c r="AM180" s="23">
        <f t="shared" si="89"/>
        <v>0</v>
      </c>
      <c r="AN180" s="23">
        <f t="shared" si="90"/>
        <v>13.795701581027668</v>
      </c>
      <c r="AQ180" s="32">
        <f t="shared" si="91"/>
        <v>42736</v>
      </c>
      <c r="AR180" s="32">
        <f t="shared" si="92"/>
        <v>42916</v>
      </c>
      <c r="AS180" s="50">
        <v>12</v>
      </c>
      <c r="AT180" s="1">
        <f t="shared" si="93"/>
        <v>0</v>
      </c>
      <c r="AU180" s="1">
        <f t="shared" si="94"/>
        <v>0</v>
      </c>
      <c r="AV180" s="1">
        <f t="shared" si="95"/>
        <v>0</v>
      </c>
      <c r="AW180" s="1">
        <f t="shared" si="96"/>
        <v>0</v>
      </c>
      <c r="AX180" s="1">
        <f t="shared" si="97"/>
        <v>90.5</v>
      </c>
      <c r="AY180" s="23">
        <f t="shared" si="98"/>
        <v>0.5</v>
      </c>
      <c r="AZ180" s="23">
        <f t="shared" si="99"/>
        <v>0.34564393939393939</v>
      </c>
      <c r="BA180" s="23">
        <f t="shared" si="100"/>
        <v>2.0738636363636362</v>
      </c>
      <c r="BB180" s="23">
        <f t="shared" si="101"/>
        <v>4.1477272727272725</v>
      </c>
      <c r="BC180" s="23">
        <f t="shared" si="102"/>
        <v>0</v>
      </c>
      <c r="BD180" s="23">
        <f t="shared" si="103"/>
        <v>4.1477272727272725</v>
      </c>
    </row>
    <row r="181" spans="1:56">
      <c r="A181" s="1" t="s">
        <v>20</v>
      </c>
      <c r="B181" s="1" t="s">
        <v>32</v>
      </c>
      <c r="C181" s="1" t="s">
        <v>22</v>
      </c>
      <c r="D181" s="1" t="s">
        <v>33</v>
      </c>
      <c r="E181" s="51" t="s">
        <v>154</v>
      </c>
      <c r="F181" s="51" t="s">
        <v>108</v>
      </c>
      <c r="G181" s="51" t="s">
        <v>109</v>
      </c>
      <c r="H181" s="51" t="s">
        <v>224</v>
      </c>
      <c r="I181" s="1" t="s">
        <v>167</v>
      </c>
      <c r="J181" s="51" t="s">
        <v>112</v>
      </c>
      <c r="K181" s="51" t="s">
        <v>112</v>
      </c>
      <c r="L181" s="51" t="s">
        <v>148</v>
      </c>
      <c r="M181" s="1">
        <v>1972701</v>
      </c>
      <c r="N181" s="50" t="s">
        <v>468</v>
      </c>
      <c r="O181" s="55">
        <f>DATE(2014,10,1)</f>
        <v>41913</v>
      </c>
      <c r="P181" s="55">
        <f>DATE(2016,11,30)</f>
        <v>42704</v>
      </c>
      <c r="Q181" s="51">
        <v>1680</v>
      </c>
      <c r="S181" s="51">
        <v>1</v>
      </c>
      <c r="U181" s="1">
        <f t="shared" si="74"/>
        <v>792</v>
      </c>
      <c r="V181" s="31">
        <f t="shared" si="75"/>
        <v>2.1212121212121211</v>
      </c>
      <c r="W181" s="31">
        <f t="shared" si="76"/>
        <v>774.24242424242425</v>
      </c>
      <c r="X181" s="31">
        <f t="shared" si="77"/>
        <v>0.96780303030303028</v>
      </c>
      <c r="AA181" s="32">
        <f t="shared" si="78"/>
        <v>42552</v>
      </c>
      <c r="AB181" s="32">
        <f t="shared" si="79"/>
        <v>42735</v>
      </c>
      <c r="AC181" s="50">
        <v>48</v>
      </c>
      <c r="AD181" s="1">
        <f t="shared" si="80"/>
        <v>0</v>
      </c>
      <c r="AE181" s="1">
        <f t="shared" si="81"/>
        <v>0</v>
      </c>
      <c r="AF181" s="1">
        <f t="shared" si="82"/>
        <v>153</v>
      </c>
      <c r="AG181" s="1">
        <f t="shared" si="83"/>
        <v>0</v>
      </c>
      <c r="AH181" s="1">
        <f t="shared" si="84"/>
        <v>0</v>
      </c>
      <c r="AI181" s="23">
        <f t="shared" si="85"/>
        <v>0.83152173913043481</v>
      </c>
      <c r="AJ181" s="23">
        <f t="shared" si="86"/>
        <v>0.80474925889328064</v>
      </c>
      <c r="AK181" s="23">
        <f t="shared" si="87"/>
        <v>38.627964426877469</v>
      </c>
      <c r="AL181" s="23">
        <f t="shared" si="88"/>
        <v>38.627964426877469</v>
      </c>
      <c r="AM181" s="23">
        <f t="shared" si="89"/>
        <v>0</v>
      </c>
      <c r="AN181" s="23">
        <f t="shared" si="90"/>
        <v>38.627964426877469</v>
      </c>
      <c r="AQ181" s="32">
        <f t="shared" si="91"/>
        <v>42736</v>
      </c>
      <c r="AR181" s="32">
        <f t="shared" si="92"/>
        <v>42916</v>
      </c>
      <c r="AS181" s="50">
        <v>48</v>
      </c>
      <c r="AT181" s="1">
        <f t="shared" si="93"/>
        <v>0</v>
      </c>
      <c r="AU181" s="1">
        <f t="shared" si="94"/>
        <v>0</v>
      </c>
      <c r="AV181" s="1">
        <f t="shared" si="95"/>
        <v>0</v>
      </c>
      <c r="AW181" s="1">
        <f t="shared" si="96"/>
        <v>0</v>
      </c>
      <c r="AX181" s="1">
        <f t="shared" si="97"/>
        <v>90.5</v>
      </c>
      <c r="AY181" s="23">
        <f t="shared" si="98"/>
        <v>0.5</v>
      </c>
      <c r="AZ181" s="23">
        <f t="shared" si="99"/>
        <v>0.48390151515151514</v>
      </c>
      <c r="BA181" s="23">
        <f t="shared" si="100"/>
        <v>11.613636363636363</v>
      </c>
      <c r="BB181" s="23">
        <f t="shared" si="101"/>
        <v>11.613636363636363</v>
      </c>
      <c r="BC181" s="23">
        <f t="shared" si="102"/>
        <v>0</v>
      </c>
      <c r="BD181" s="23">
        <f t="shared" si="103"/>
        <v>11.613636363636363</v>
      </c>
    </row>
    <row r="182" spans="1:56">
      <c r="A182" s="1" t="s">
        <v>20</v>
      </c>
      <c r="B182" s="1" t="s">
        <v>32</v>
      </c>
      <c r="C182" s="1" t="s">
        <v>22</v>
      </c>
      <c r="D182" s="1" t="s">
        <v>33</v>
      </c>
      <c r="E182" s="51" t="s">
        <v>107</v>
      </c>
      <c r="F182" s="51" t="s">
        <v>294</v>
      </c>
      <c r="G182" s="51" t="s">
        <v>109</v>
      </c>
      <c r="H182" s="51" t="s">
        <v>305</v>
      </c>
      <c r="I182" s="1" t="s">
        <v>234</v>
      </c>
      <c r="J182" s="51" t="s">
        <v>112</v>
      </c>
      <c r="K182" s="51" t="s">
        <v>112</v>
      </c>
      <c r="L182" s="51" t="s">
        <v>112</v>
      </c>
      <c r="M182" s="1">
        <v>1972702</v>
      </c>
      <c r="N182" s="56" t="s">
        <v>470</v>
      </c>
      <c r="O182" s="55">
        <f>DATE(2011,8,1)</f>
        <v>40756</v>
      </c>
      <c r="P182" s="55">
        <f>DATE(2014,12,31)</f>
        <v>42004</v>
      </c>
      <c r="Q182" s="51">
        <v>2520</v>
      </c>
      <c r="S182" s="51">
        <v>1</v>
      </c>
      <c r="U182" s="1">
        <f t="shared" si="74"/>
        <v>1249</v>
      </c>
      <c r="V182" s="31">
        <f t="shared" si="75"/>
        <v>2.0176140912730185</v>
      </c>
      <c r="W182" s="31">
        <f t="shared" si="76"/>
        <v>736.4291433146517</v>
      </c>
      <c r="X182" s="31">
        <f t="shared" si="77"/>
        <v>0.92053642914331457</v>
      </c>
      <c r="AA182" s="32">
        <f t="shared" si="78"/>
        <v>42552</v>
      </c>
      <c r="AB182" s="32">
        <f t="shared" si="79"/>
        <v>42735</v>
      </c>
      <c r="AC182" s="50">
        <v>2</v>
      </c>
      <c r="AD182" s="1">
        <f t="shared" si="80"/>
        <v>0</v>
      </c>
      <c r="AE182" s="1">
        <f t="shared" si="81"/>
        <v>0</v>
      </c>
      <c r="AF182" s="1">
        <f t="shared" si="82"/>
        <v>0</v>
      </c>
      <c r="AG182" s="1">
        <f t="shared" si="83"/>
        <v>0</v>
      </c>
      <c r="AH182" s="1">
        <f t="shared" si="84"/>
        <v>92</v>
      </c>
      <c r="AI182" s="23">
        <f t="shared" si="85"/>
        <v>0.5</v>
      </c>
      <c r="AJ182" s="23">
        <f t="shared" si="86"/>
        <v>0.46026821457165729</v>
      </c>
      <c r="AK182" s="23">
        <f t="shared" si="87"/>
        <v>0.46026821457165729</v>
      </c>
      <c r="AL182" s="23">
        <f t="shared" si="88"/>
        <v>0.46026821457165729</v>
      </c>
      <c r="AM182" s="23">
        <f t="shared" si="89"/>
        <v>0</v>
      </c>
      <c r="AN182" s="23">
        <f t="shared" si="90"/>
        <v>0.46026821457165729</v>
      </c>
      <c r="AQ182" s="32">
        <f t="shared" si="91"/>
        <v>42736</v>
      </c>
      <c r="AR182" s="32">
        <f t="shared" si="92"/>
        <v>42916</v>
      </c>
      <c r="AS182" s="56">
        <v>0</v>
      </c>
      <c r="AT182" s="1">
        <f t="shared" si="93"/>
        <v>0</v>
      </c>
      <c r="AU182" s="1">
        <f t="shared" si="94"/>
        <v>0</v>
      </c>
      <c r="AV182" s="1">
        <f t="shared" si="95"/>
        <v>0</v>
      </c>
      <c r="AW182" s="1">
        <f t="shared" si="96"/>
        <v>0</v>
      </c>
      <c r="AX182" s="1">
        <f t="shared" si="97"/>
        <v>90.5</v>
      </c>
      <c r="AY182" s="23">
        <f t="shared" si="98"/>
        <v>0.5</v>
      </c>
      <c r="AZ182" s="23">
        <f t="shared" si="99"/>
        <v>0.46026821457165729</v>
      </c>
      <c r="BA182" s="23">
        <f t="shared" si="100"/>
        <v>0</v>
      </c>
      <c r="BB182" s="23">
        <f t="shared" si="101"/>
        <v>0</v>
      </c>
      <c r="BC182" s="23">
        <f t="shared" si="102"/>
        <v>0</v>
      </c>
      <c r="BD182" s="23">
        <f t="shared" si="103"/>
        <v>0</v>
      </c>
    </row>
    <row r="183" spans="1:56">
      <c r="A183" s="1" t="s">
        <v>20</v>
      </c>
      <c r="B183" s="1" t="s">
        <v>32</v>
      </c>
      <c r="C183" s="1" t="s">
        <v>22</v>
      </c>
      <c r="D183" s="1" t="s">
        <v>33</v>
      </c>
      <c r="E183" s="51" t="s">
        <v>154</v>
      </c>
      <c r="F183" s="51" t="s">
        <v>108</v>
      </c>
      <c r="G183" s="51" t="s">
        <v>109</v>
      </c>
      <c r="H183" s="51" t="s">
        <v>169</v>
      </c>
      <c r="I183" s="1" t="s">
        <v>116</v>
      </c>
      <c r="J183" s="51" t="s">
        <v>112</v>
      </c>
      <c r="K183" s="51" t="s">
        <v>112</v>
      </c>
      <c r="L183" s="51" t="s">
        <v>148</v>
      </c>
      <c r="M183" s="1">
        <v>1972706</v>
      </c>
      <c r="N183" s="50" t="s">
        <v>471</v>
      </c>
      <c r="O183" s="55">
        <f>DATE(2014,10,1)</f>
        <v>41913</v>
      </c>
      <c r="P183" s="55">
        <f>DATE(2016,11,30)</f>
        <v>42704</v>
      </c>
      <c r="Q183" s="51">
        <v>1680</v>
      </c>
      <c r="S183" s="51">
        <v>2</v>
      </c>
      <c r="U183" s="1">
        <f t="shared" si="74"/>
        <v>792</v>
      </c>
      <c r="V183" s="31">
        <f t="shared" si="75"/>
        <v>2.1212121212121211</v>
      </c>
      <c r="W183" s="31">
        <f t="shared" si="76"/>
        <v>774.24242424242425</v>
      </c>
      <c r="X183" s="31">
        <f t="shared" si="77"/>
        <v>0.96780303030303028</v>
      </c>
      <c r="AA183" s="32">
        <f t="shared" si="78"/>
        <v>42552</v>
      </c>
      <c r="AB183" s="32">
        <f t="shared" si="79"/>
        <v>42735</v>
      </c>
      <c r="AC183" s="50">
        <v>41</v>
      </c>
      <c r="AD183" s="1">
        <f t="shared" si="80"/>
        <v>0</v>
      </c>
      <c r="AE183" s="1">
        <f t="shared" si="81"/>
        <v>0</v>
      </c>
      <c r="AF183" s="1">
        <f t="shared" si="82"/>
        <v>153</v>
      </c>
      <c r="AG183" s="1">
        <f t="shared" si="83"/>
        <v>0</v>
      </c>
      <c r="AH183" s="1">
        <f t="shared" si="84"/>
        <v>0</v>
      </c>
      <c r="AI183" s="23">
        <f t="shared" si="85"/>
        <v>0.83152173913043481</v>
      </c>
      <c r="AJ183" s="23">
        <f t="shared" si="86"/>
        <v>0.80474925889328064</v>
      </c>
      <c r="AK183" s="23">
        <f t="shared" si="87"/>
        <v>32.994719614624508</v>
      </c>
      <c r="AL183" s="23">
        <f t="shared" si="88"/>
        <v>65.989439229249015</v>
      </c>
      <c r="AM183" s="23">
        <f t="shared" si="89"/>
        <v>0</v>
      </c>
      <c r="AN183" s="23">
        <f t="shared" si="90"/>
        <v>65.989439229249015</v>
      </c>
      <c r="AQ183" s="32">
        <f t="shared" si="91"/>
        <v>42736</v>
      </c>
      <c r="AR183" s="32">
        <f t="shared" si="92"/>
        <v>42916</v>
      </c>
      <c r="AS183" s="50">
        <v>41</v>
      </c>
      <c r="AT183" s="1">
        <f t="shared" si="93"/>
        <v>0</v>
      </c>
      <c r="AU183" s="1">
        <f t="shared" si="94"/>
        <v>0</v>
      </c>
      <c r="AV183" s="1">
        <f t="shared" si="95"/>
        <v>0</v>
      </c>
      <c r="AW183" s="1">
        <f t="shared" si="96"/>
        <v>0</v>
      </c>
      <c r="AX183" s="1">
        <f t="shared" si="97"/>
        <v>90.5</v>
      </c>
      <c r="AY183" s="23">
        <f t="shared" si="98"/>
        <v>0.5</v>
      </c>
      <c r="AZ183" s="23">
        <f t="shared" si="99"/>
        <v>0.48390151515151514</v>
      </c>
      <c r="BA183" s="23">
        <f t="shared" si="100"/>
        <v>9.9199810606060606</v>
      </c>
      <c r="BB183" s="23">
        <f t="shared" si="101"/>
        <v>19.839962121212121</v>
      </c>
      <c r="BC183" s="23">
        <f t="shared" si="102"/>
        <v>0</v>
      </c>
      <c r="BD183" s="23">
        <f t="shared" si="103"/>
        <v>19.839962121212121</v>
      </c>
    </row>
    <row r="184" spans="1:56">
      <c r="A184" s="1" t="s">
        <v>20</v>
      </c>
      <c r="B184" s="1" t="s">
        <v>32</v>
      </c>
      <c r="C184" s="1" t="s">
        <v>22</v>
      </c>
      <c r="D184" s="1" t="s">
        <v>33</v>
      </c>
      <c r="E184" s="51" t="s">
        <v>107</v>
      </c>
      <c r="F184" s="51" t="s">
        <v>294</v>
      </c>
      <c r="G184" s="51" t="s">
        <v>109</v>
      </c>
      <c r="H184" s="51" t="s">
        <v>301</v>
      </c>
      <c r="I184" s="1" t="s">
        <v>111</v>
      </c>
      <c r="J184" s="51" t="s">
        <v>112</v>
      </c>
      <c r="K184" s="51" t="s">
        <v>112</v>
      </c>
      <c r="L184" s="51" t="s">
        <v>112</v>
      </c>
      <c r="M184" s="1">
        <v>1972714</v>
      </c>
      <c r="N184" s="50" t="s">
        <v>472</v>
      </c>
      <c r="O184" s="55">
        <f>DATE(2011,8,1)</f>
        <v>40756</v>
      </c>
      <c r="P184" s="55">
        <f>DATE(2014,7,31)</f>
        <v>41851</v>
      </c>
      <c r="Q184" s="51">
        <v>2000</v>
      </c>
      <c r="S184" s="51">
        <v>2</v>
      </c>
      <c r="U184" s="1">
        <f t="shared" si="74"/>
        <v>1096</v>
      </c>
      <c r="V184" s="31">
        <f t="shared" si="75"/>
        <v>1.8248175182481752</v>
      </c>
      <c r="W184" s="31">
        <f t="shared" si="76"/>
        <v>666.05839416058393</v>
      </c>
      <c r="X184" s="31">
        <f t="shared" si="77"/>
        <v>0.83257299270072993</v>
      </c>
      <c r="AA184" s="32">
        <f t="shared" si="78"/>
        <v>42552</v>
      </c>
      <c r="AB184" s="32">
        <f t="shared" si="79"/>
        <v>42735</v>
      </c>
      <c r="AC184" s="50">
        <v>7</v>
      </c>
      <c r="AD184" s="1">
        <f t="shared" si="80"/>
        <v>0</v>
      </c>
      <c r="AE184" s="1">
        <f t="shared" si="81"/>
        <v>0</v>
      </c>
      <c r="AF184" s="1">
        <f t="shared" si="82"/>
        <v>0</v>
      </c>
      <c r="AG184" s="1">
        <f t="shared" si="83"/>
        <v>0</v>
      </c>
      <c r="AH184" s="1">
        <f t="shared" si="84"/>
        <v>92</v>
      </c>
      <c r="AI184" s="23">
        <f t="shared" si="85"/>
        <v>0.5</v>
      </c>
      <c r="AJ184" s="23">
        <f t="shared" si="86"/>
        <v>0.41628649635036497</v>
      </c>
      <c r="AK184" s="23">
        <f t="shared" si="87"/>
        <v>1.4570027372262775</v>
      </c>
      <c r="AL184" s="23">
        <f t="shared" si="88"/>
        <v>2.914005474452555</v>
      </c>
      <c r="AM184" s="23">
        <f t="shared" si="89"/>
        <v>0</v>
      </c>
      <c r="AN184" s="23">
        <f t="shared" si="90"/>
        <v>2.914005474452555</v>
      </c>
      <c r="AQ184" s="32">
        <f t="shared" si="91"/>
        <v>42736</v>
      </c>
      <c r="AR184" s="32">
        <f t="shared" si="92"/>
        <v>42916</v>
      </c>
      <c r="AS184" s="50">
        <v>6</v>
      </c>
      <c r="AT184" s="1">
        <f t="shared" si="93"/>
        <v>0</v>
      </c>
      <c r="AU184" s="1">
        <f t="shared" si="94"/>
        <v>0</v>
      </c>
      <c r="AV184" s="1">
        <f t="shared" si="95"/>
        <v>0</v>
      </c>
      <c r="AW184" s="1">
        <f t="shared" si="96"/>
        <v>0</v>
      </c>
      <c r="AX184" s="1">
        <f t="shared" si="97"/>
        <v>90.5</v>
      </c>
      <c r="AY184" s="23">
        <f t="shared" si="98"/>
        <v>0.5</v>
      </c>
      <c r="AZ184" s="23">
        <f t="shared" si="99"/>
        <v>0.41628649635036497</v>
      </c>
      <c r="BA184" s="23">
        <f t="shared" si="100"/>
        <v>1.2488594890510949</v>
      </c>
      <c r="BB184" s="23">
        <f t="shared" si="101"/>
        <v>2.4977189781021898</v>
      </c>
      <c r="BC184" s="23">
        <f t="shared" si="102"/>
        <v>0</v>
      </c>
      <c r="BD184" s="23">
        <f t="shared" si="103"/>
        <v>2.4977189781021898</v>
      </c>
    </row>
    <row r="185" spans="1:56">
      <c r="A185" s="1" t="s">
        <v>20</v>
      </c>
      <c r="B185" s="1" t="s">
        <v>32</v>
      </c>
      <c r="C185" s="1" t="s">
        <v>22</v>
      </c>
      <c r="D185" s="1" t="s">
        <v>33</v>
      </c>
      <c r="E185" s="51" t="s">
        <v>154</v>
      </c>
      <c r="F185" s="51" t="s">
        <v>108</v>
      </c>
      <c r="G185" s="51" t="s">
        <v>109</v>
      </c>
      <c r="H185" s="51" t="s">
        <v>156</v>
      </c>
      <c r="I185" s="1" t="s">
        <v>128</v>
      </c>
      <c r="J185" s="51" t="s">
        <v>112</v>
      </c>
      <c r="K185" s="51" t="s">
        <v>112</v>
      </c>
      <c r="L185" s="51" t="s">
        <v>148</v>
      </c>
      <c r="M185" s="1">
        <v>1978333</v>
      </c>
      <c r="N185" s="56" t="s">
        <v>473</v>
      </c>
      <c r="O185" s="55">
        <f>DATE(2011,8,1)</f>
        <v>40756</v>
      </c>
      <c r="P185" s="55">
        <f>DATE(2013,7,31)</f>
        <v>41486</v>
      </c>
      <c r="Q185" s="51">
        <v>1200</v>
      </c>
      <c r="S185" s="51">
        <v>2.5</v>
      </c>
      <c r="U185" s="1">
        <f t="shared" si="74"/>
        <v>731</v>
      </c>
      <c r="V185" s="31">
        <f t="shared" si="75"/>
        <v>1.6415868673050615</v>
      </c>
      <c r="W185" s="31">
        <f t="shared" si="76"/>
        <v>599.17920656634749</v>
      </c>
      <c r="X185" s="31">
        <f t="shared" si="77"/>
        <v>0.74897400820793436</v>
      </c>
      <c r="AA185" s="32">
        <f t="shared" si="78"/>
        <v>42552</v>
      </c>
      <c r="AB185" s="32">
        <f t="shared" si="79"/>
        <v>42735</v>
      </c>
      <c r="AC185" s="50">
        <v>9</v>
      </c>
      <c r="AD185" s="1">
        <f t="shared" si="80"/>
        <v>0</v>
      </c>
      <c r="AE185" s="1">
        <f t="shared" si="81"/>
        <v>0</v>
      </c>
      <c r="AF185" s="1">
        <f t="shared" si="82"/>
        <v>0</v>
      </c>
      <c r="AG185" s="1">
        <f t="shared" si="83"/>
        <v>0</v>
      </c>
      <c r="AH185" s="1">
        <f t="shared" si="84"/>
        <v>92</v>
      </c>
      <c r="AI185" s="23">
        <f t="shared" si="85"/>
        <v>0.5</v>
      </c>
      <c r="AJ185" s="23">
        <f t="shared" si="86"/>
        <v>0.37448700410396718</v>
      </c>
      <c r="AK185" s="23">
        <f t="shared" si="87"/>
        <v>1.6851915184678523</v>
      </c>
      <c r="AL185" s="23">
        <f t="shared" si="88"/>
        <v>4.2129787961696312</v>
      </c>
      <c r="AM185" s="23">
        <f t="shared" si="89"/>
        <v>0</v>
      </c>
      <c r="AN185" s="23">
        <f t="shared" si="90"/>
        <v>4.2129787961696312</v>
      </c>
      <c r="AQ185" s="32">
        <f t="shared" si="91"/>
        <v>42736</v>
      </c>
      <c r="AR185" s="32">
        <f t="shared" si="92"/>
        <v>42916</v>
      </c>
      <c r="AS185" s="56">
        <v>0</v>
      </c>
      <c r="AT185" s="1">
        <f t="shared" si="93"/>
        <v>0</v>
      </c>
      <c r="AU185" s="1">
        <f t="shared" si="94"/>
        <v>0</v>
      </c>
      <c r="AV185" s="1">
        <f t="shared" si="95"/>
        <v>0</v>
      </c>
      <c r="AW185" s="1">
        <f t="shared" si="96"/>
        <v>0</v>
      </c>
      <c r="AX185" s="1">
        <f t="shared" si="97"/>
        <v>90.5</v>
      </c>
      <c r="AY185" s="23">
        <f t="shared" si="98"/>
        <v>0.5</v>
      </c>
      <c r="AZ185" s="23">
        <f t="shared" si="99"/>
        <v>0.37448700410396718</v>
      </c>
      <c r="BA185" s="23">
        <f t="shared" si="100"/>
        <v>0</v>
      </c>
      <c r="BB185" s="23">
        <f t="shared" si="101"/>
        <v>0</v>
      </c>
      <c r="BC185" s="23">
        <f t="shared" si="102"/>
        <v>0</v>
      </c>
      <c r="BD185" s="23">
        <f t="shared" si="103"/>
        <v>0</v>
      </c>
    </row>
    <row r="186" spans="1:56">
      <c r="A186" s="1" t="s">
        <v>20</v>
      </c>
      <c r="B186" s="1" t="s">
        <v>32</v>
      </c>
      <c r="C186" s="1" t="s">
        <v>22</v>
      </c>
      <c r="D186" s="1" t="s">
        <v>33</v>
      </c>
      <c r="E186" s="51" t="s">
        <v>154</v>
      </c>
      <c r="F186" s="51" t="s">
        <v>439</v>
      </c>
      <c r="G186" s="51" t="s">
        <v>109</v>
      </c>
      <c r="H186" s="51" t="s">
        <v>474</v>
      </c>
      <c r="I186" s="1" t="s">
        <v>116</v>
      </c>
      <c r="J186" s="51" t="s">
        <v>112</v>
      </c>
      <c r="K186" s="51" t="s">
        <v>112</v>
      </c>
      <c r="L186" s="51" t="s">
        <v>112</v>
      </c>
      <c r="M186" s="1">
        <v>1979104</v>
      </c>
      <c r="N186" s="50" t="s">
        <v>475</v>
      </c>
      <c r="O186" s="55">
        <f>DATE(2014,8,1)</f>
        <v>41852</v>
      </c>
      <c r="P186" s="55">
        <f>DATE(2016,5,31)</f>
        <v>42521</v>
      </c>
      <c r="Q186" s="51">
        <v>420</v>
      </c>
      <c r="S186" s="51">
        <v>1</v>
      </c>
      <c r="U186" s="1">
        <f t="shared" si="74"/>
        <v>670</v>
      </c>
      <c r="V186" s="31">
        <f t="shared" si="75"/>
        <v>0.62686567164179108</v>
      </c>
      <c r="W186" s="31">
        <f t="shared" si="76"/>
        <v>228.80597014925374</v>
      </c>
      <c r="X186" s="31">
        <f t="shared" si="77"/>
        <v>0.28600746268656718</v>
      </c>
      <c r="AA186" s="32">
        <f t="shared" si="78"/>
        <v>42552</v>
      </c>
      <c r="AB186" s="32">
        <f t="shared" si="79"/>
        <v>42735</v>
      </c>
      <c r="AC186" s="50">
        <v>5</v>
      </c>
      <c r="AD186" s="1">
        <f t="shared" si="80"/>
        <v>0</v>
      </c>
      <c r="AE186" s="1">
        <f t="shared" si="81"/>
        <v>0</v>
      </c>
      <c r="AF186" s="1">
        <f t="shared" si="82"/>
        <v>0</v>
      </c>
      <c r="AG186" s="1">
        <f t="shared" si="83"/>
        <v>0</v>
      </c>
      <c r="AH186" s="1">
        <f t="shared" si="84"/>
        <v>92</v>
      </c>
      <c r="AI186" s="23">
        <f t="shared" si="85"/>
        <v>0.5</v>
      </c>
      <c r="AJ186" s="23">
        <f t="shared" si="86"/>
        <v>0.14300373134328359</v>
      </c>
      <c r="AK186" s="23">
        <f t="shared" si="87"/>
        <v>0.35750932835820898</v>
      </c>
      <c r="AL186" s="23">
        <f t="shared" si="88"/>
        <v>0.35750932835820898</v>
      </c>
      <c r="AM186" s="23">
        <f t="shared" si="89"/>
        <v>0</v>
      </c>
      <c r="AN186" s="23">
        <f t="shared" si="90"/>
        <v>0.35750932835820898</v>
      </c>
      <c r="AQ186" s="32">
        <f t="shared" si="91"/>
        <v>42736</v>
      </c>
      <c r="AR186" s="32">
        <f t="shared" si="92"/>
        <v>42916</v>
      </c>
      <c r="AS186" s="50">
        <v>3</v>
      </c>
      <c r="AT186" s="1">
        <f t="shared" si="93"/>
        <v>0</v>
      </c>
      <c r="AU186" s="1">
        <f t="shared" si="94"/>
        <v>0</v>
      </c>
      <c r="AV186" s="1">
        <f t="shared" si="95"/>
        <v>0</v>
      </c>
      <c r="AW186" s="1">
        <f t="shared" si="96"/>
        <v>0</v>
      </c>
      <c r="AX186" s="1">
        <f t="shared" si="97"/>
        <v>90.5</v>
      </c>
      <c r="AY186" s="23">
        <f t="shared" si="98"/>
        <v>0.5</v>
      </c>
      <c r="AZ186" s="23">
        <f t="shared" si="99"/>
        <v>0.14300373134328359</v>
      </c>
      <c r="BA186" s="23">
        <f t="shared" si="100"/>
        <v>0.21450559701492539</v>
      </c>
      <c r="BB186" s="23">
        <f t="shared" si="101"/>
        <v>0.21450559701492539</v>
      </c>
      <c r="BC186" s="23">
        <f t="shared" si="102"/>
        <v>0</v>
      </c>
      <c r="BD186" s="23">
        <f t="shared" si="103"/>
        <v>0.21450559701492539</v>
      </c>
    </row>
    <row r="187" spans="1:56">
      <c r="A187" s="1" t="s">
        <v>20</v>
      </c>
      <c r="B187" s="1" t="s">
        <v>32</v>
      </c>
      <c r="C187" s="1" t="s">
        <v>22</v>
      </c>
      <c r="D187" s="1" t="s">
        <v>33</v>
      </c>
      <c r="E187" s="51" t="s">
        <v>107</v>
      </c>
      <c r="F187" s="51" t="s">
        <v>294</v>
      </c>
      <c r="G187" s="51" t="s">
        <v>109</v>
      </c>
      <c r="H187" s="51" t="s">
        <v>305</v>
      </c>
      <c r="I187" s="1" t="s">
        <v>234</v>
      </c>
      <c r="J187" s="51" t="s">
        <v>112</v>
      </c>
      <c r="K187" s="51" t="s">
        <v>112</v>
      </c>
      <c r="L187" s="51" t="s">
        <v>112</v>
      </c>
      <c r="M187" s="1">
        <v>1986192</v>
      </c>
      <c r="N187" s="51" t="s">
        <v>476</v>
      </c>
      <c r="O187" s="55">
        <f>DATE(2015,4,27)</f>
        <v>42121</v>
      </c>
      <c r="P187" s="55">
        <f>DATE(2017,10,30)</f>
        <v>43038</v>
      </c>
      <c r="Q187" s="51">
        <v>2520</v>
      </c>
      <c r="S187" s="51">
        <v>1</v>
      </c>
      <c r="U187" s="1">
        <f t="shared" si="74"/>
        <v>918</v>
      </c>
      <c r="V187" s="31">
        <f t="shared" si="75"/>
        <v>2.7450980392156863</v>
      </c>
      <c r="W187" s="31">
        <f t="shared" si="76"/>
        <v>1001.9607843137255</v>
      </c>
      <c r="X187" s="31">
        <f t="shared" si="77"/>
        <v>1.2524509803921569</v>
      </c>
      <c r="AA187" s="32">
        <f t="shared" si="78"/>
        <v>42552</v>
      </c>
      <c r="AB187" s="32">
        <f t="shared" si="79"/>
        <v>42735</v>
      </c>
      <c r="AC187" s="51">
        <v>11</v>
      </c>
      <c r="AD187" s="1">
        <f t="shared" si="80"/>
        <v>184</v>
      </c>
      <c r="AE187" s="1">
        <f t="shared" si="81"/>
        <v>0</v>
      </c>
      <c r="AF187" s="1">
        <f t="shared" si="82"/>
        <v>0</v>
      </c>
      <c r="AG187" s="1">
        <f t="shared" si="83"/>
        <v>0</v>
      </c>
      <c r="AH187" s="1">
        <f t="shared" si="84"/>
        <v>0</v>
      </c>
      <c r="AI187" s="23">
        <f t="shared" si="85"/>
        <v>1</v>
      </c>
      <c r="AJ187" s="23">
        <f t="shared" si="86"/>
        <v>1.2524509803921569</v>
      </c>
      <c r="AK187" s="23">
        <f t="shared" si="87"/>
        <v>13.776960784313726</v>
      </c>
      <c r="AL187" s="23">
        <f t="shared" si="88"/>
        <v>13.776960784313726</v>
      </c>
      <c r="AM187" s="23">
        <f t="shared" si="89"/>
        <v>0</v>
      </c>
      <c r="AN187" s="23">
        <f t="shared" si="90"/>
        <v>13.776960784313726</v>
      </c>
      <c r="AQ187" s="32">
        <f t="shared" si="91"/>
        <v>42736</v>
      </c>
      <c r="AR187" s="32">
        <f t="shared" si="92"/>
        <v>42916</v>
      </c>
      <c r="AS187" s="51">
        <v>10</v>
      </c>
      <c r="AT187" s="1">
        <f t="shared" si="93"/>
        <v>181</v>
      </c>
      <c r="AU187" s="1">
        <f t="shared" si="94"/>
        <v>0</v>
      </c>
      <c r="AV187" s="1">
        <f t="shared" si="95"/>
        <v>0</v>
      </c>
      <c r="AW187" s="1">
        <f t="shared" si="96"/>
        <v>0</v>
      </c>
      <c r="AX187" s="1">
        <f t="shared" si="97"/>
        <v>0</v>
      </c>
      <c r="AY187" s="23">
        <f t="shared" si="98"/>
        <v>1</v>
      </c>
      <c r="AZ187" s="23">
        <f t="shared" si="99"/>
        <v>1.2524509803921569</v>
      </c>
      <c r="BA187" s="23">
        <f t="shared" si="100"/>
        <v>12.524509803921568</v>
      </c>
      <c r="BB187" s="23">
        <f t="shared" si="101"/>
        <v>12.524509803921568</v>
      </c>
      <c r="BC187" s="23">
        <f t="shared" si="102"/>
        <v>0</v>
      </c>
      <c r="BD187" s="23">
        <f t="shared" si="103"/>
        <v>12.524509803921568</v>
      </c>
    </row>
    <row r="188" spans="1:56">
      <c r="A188" s="1" t="s">
        <v>20</v>
      </c>
      <c r="B188" s="1" t="s">
        <v>32</v>
      </c>
      <c r="C188" s="1" t="s">
        <v>22</v>
      </c>
      <c r="D188" s="1" t="s">
        <v>33</v>
      </c>
      <c r="E188" s="51" t="s">
        <v>107</v>
      </c>
      <c r="F188" s="51" t="s">
        <v>294</v>
      </c>
      <c r="G188" s="51" t="s">
        <v>109</v>
      </c>
      <c r="H188" s="51" t="s">
        <v>297</v>
      </c>
      <c r="I188" s="1" t="s">
        <v>147</v>
      </c>
      <c r="J188" s="51" t="s">
        <v>112</v>
      </c>
      <c r="K188" s="51" t="s">
        <v>112</v>
      </c>
      <c r="L188" s="51" t="s">
        <v>112</v>
      </c>
      <c r="M188" s="1">
        <v>1986194</v>
      </c>
      <c r="N188" s="52" t="s">
        <v>477</v>
      </c>
      <c r="O188" s="55">
        <f>DATE(2015,4,27)</f>
        <v>42121</v>
      </c>
      <c r="P188" s="55">
        <f>DATE(2018,4,30)</f>
        <v>43220</v>
      </c>
      <c r="Q188" s="51">
        <v>2540</v>
      </c>
      <c r="S188" s="51">
        <v>2</v>
      </c>
      <c r="U188" s="1">
        <f t="shared" si="74"/>
        <v>1100</v>
      </c>
      <c r="V188" s="31">
        <f t="shared" si="75"/>
        <v>2.3090909090909091</v>
      </c>
      <c r="W188" s="31">
        <f t="shared" si="76"/>
        <v>842.81818181818187</v>
      </c>
      <c r="X188" s="31">
        <f t="shared" si="77"/>
        <v>1.0535227272727274</v>
      </c>
      <c r="AA188" s="32">
        <f t="shared" si="78"/>
        <v>42552</v>
      </c>
      <c r="AB188" s="32">
        <f t="shared" si="79"/>
        <v>42735</v>
      </c>
      <c r="AC188" s="52">
        <v>13</v>
      </c>
      <c r="AD188" s="1">
        <f t="shared" si="80"/>
        <v>184</v>
      </c>
      <c r="AE188" s="1">
        <f t="shared" si="81"/>
        <v>0</v>
      </c>
      <c r="AF188" s="1">
        <f t="shared" si="82"/>
        <v>0</v>
      </c>
      <c r="AG188" s="1">
        <f t="shared" si="83"/>
        <v>0</v>
      </c>
      <c r="AH188" s="1">
        <f t="shared" si="84"/>
        <v>0</v>
      </c>
      <c r="AI188" s="23">
        <f t="shared" si="85"/>
        <v>1</v>
      </c>
      <c r="AJ188" s="23">
        <f t="shared" si="86"/>
        <v>1.0535227272727274</v>
      </c>
      <c r="AK188" s="23">
        <f t="shared" si="87"/>
        <v>13.695795454545458</v>
      </c>
      <c r="AL188" s="23">
        <f t="shared" si="88"/>
        <v>27.391590909090915</v>
      </c>
      <c r="AM188" s="23">
        <f t="shared" si="89"/>
        <v>0</v>
      </c>
      <c r="AN188" s="23">
        <f t="shared" si="90"/>
        <v>27.391590909090915</v>
      </c>
      <c r="AQ188" s="32">
        <f t="shared" si="91"/>
        <v>42736</v>
      </c>
      <c r="AR188" s="32">
        <f t="shared" si="92"/>
        <v>42916</v>
      </c>
      <c r="AS188" s="52">
        <v>13</v>
      </c>
      <c r="AT188" s="1">
        <f t="shared" si="93"/>
        <v>181</v>
      </c>
      <c r="AU188" s="1">
        <f t="shared" si="94"/>
        <v>0</v>
      </c>
      <c r="AV188" s="1">
        <f t="shared" si="95"/>
        <v>0</v>
      </c>
      <c r="AW188" s="1">
        <f t="shared" si="96"/>
        <v>0</v>
      </c>
      <c r="AX188" s="1">
        <f t="shared" si="97"/>
        <v>0</v>
      </c>
      <c r="AY188" s="23">
        <f t="shared" si="98"/>
        <v>1</v>
      </c>
      <c r="AZ188" s="23">
        <f t="shared" si="99"/>
        <v>1.0535227272727274</v>
      </c>
      <c r="BA188" s="23">
        <f t="shared" si="100"/>
        <v>13.695795454545458</v>
      </c>
      <c r="BB188" s="23">
        <f t="shared" si="101"/>
        <v>27.391590909090915</v>
      </c>
      <c r="BC188" s="23">
        <f t="shared" si="102"/>
        <v>0</v>
      </c>
      <c r="BD188" s="23">
        <f t="shared" si="103"/>
        <v>27.391590909090915</v>
      </c>
    </row>
    <row r="189" spans="1:56">
      <c r="A189" s="1" t="s">
        <v>20</v>
      </c>
      <c r="B189" s="1" t="s">
        <v>32</v>
      </c>
      <c r="C189" s="1" t="s">
        <v>22</v>
      </c>
      <c r="D189" s="1" t="s">
        <v>33</v>
      </c>
      <c r="E189" s="51" t="s">
        <v>107</v>
      </c>
      <c r="F189" s="51" t="s">
        <v>294</v>
      </c>
      <c r="G189" s="51" t="s">
        <v>109</v>
      </c>
      <c r="H189" s="51" t="s">
        <v>295</v>
      </c>
      <c r="I189" s="1" t="s">
        <v>111</v>
      </c>
      <c r="J189" s="51" t="s">
        <v>112</v>
      </c>
      <c r="K189" s="51" t="s">
        <v>112</v>
      </c>
      <c r="L189" s="51" t="s">
        <v>112</v>
      </c>
      <c r="M189" s="1">
        <v>1986196</v>
      </c>
      <c r="N189" s="52" t="s">
        <v>478</v>
      </c>
      <c r="O189" s="55">
        <f>DATE(2015,4,27)</f>
        <v>42121</v>
      </c>
      <c r="P189" s="55">
        <f>DATE(2018,4,30)</f>
        <v>43220</v>
      </c>
      <c r="Q189" s="51">
        <v>2430</v>
      </c>
      <c r="S189" s="51">
        <v>2.5</v>
      </c>
      <c r="U189" s="1">
        <f t="shared" si="74"/>
        <v>1100</v>
      </c>
      <c r="V189" s="31">
        <f t="shared" si="75"/>
        <v>2.209090909090909</v>
      </c>
      <c r="W189" s="31">
        <f t="shared" si="76"/>
        <v>806.31818181818176</v>
      </c>
      <c r="X189" s="31">
        <f t="shared" si="77"/>
        <v>1.0078977272727272</v>
      </c>
      <c r="AA189" s="32">
        <f t="shared" si="78"/>
        <v>42552</v>
      </c>
      <c r="AB189" s="32">
        <f t="shared" si="79"/>
        <v>42735</v>
      </c>
      <c r="AC189" s="52">
        <v>12</v>
      </c>
      <c r="AD189" s="1">
        <f t="shared" si="80"/>
        <v>184</v>
      </c>
      <c r="AE189" s="1">
        <f t="shared" si="81"/>
        <v>0</v>
      </c>
      <c r="AF189" s="1">
        <f t="shared" si="82"/>
        <v>0</v>
      </c>
      <c r="AG189" s="1">
        <f t="shared" si="83"/>
        <v>0</v>
      </c>
      <c r="AH189" s="1">
        <f t="shared" si="84"/>
        <v>0</v>
      </c>
      <c r="AI189" s="23">
        <f t="shared" si="85"/>
        <v>1</v>
      </c>
      <c r="AJ189" s="23">
        <f t="shared" si="86"/>
        <v>1.0078977272727272</v>
      </c>
      <c r="AK189" s="23">
        <f t="shared" si="87"/>
        <v>12.094772727272726</v>
      </c>
      <c r="AL189" s="23">
        <f t="shared" si="88"/>
        <v>30.236931818181816</v>
      </c>
      <c r="AM189" s="23">
        <f t="shared" si="89"/>
        <v>0</v>
      </c>
      <c r="AN189" s="23">
        <f t="shared" si="90"/>
        <v>30.236931818181816</v>
      </c>
      <c r="AQ189" s="32">
        <f t="shared" si="91"/>
        <v>42736</v>
      </c>
      <c r="AR189" s="32">
        <f t="shared" si="92"/>
        <v>42916</v>
      </c>
      <c r="AS189" s="52">
        <v>4</v>
      </c>
      <c r="AT189" s="1">
        <f t="shared" si="93"/>
        <v>181</v>
      </c>
      <c r="AU189" s="1">
        <f t="shared" si="94"/>
        <v>0</v>
      </c>
      <c r="AV189" s="1">
        <f t="shared" si="95"/>
        <v>0</v>
      </c>
      <c r="AW189" s="1">
        <f t="shared" si="96"/>
        <v>0</v>
      </c>
      <c r="AX189" s="1">
        <f t="shared" si="97"/>
        <v>0</v>
      </c>
      <c r="AY189" s="23">
        <f t="shared" si="98"/>
        <v>1</v>
      </c>
      <c r="AZ189" s="23">
        <f t="shared" si="99"/>
        <v>1.0078977272727272</v>
      </c>
      <c r="BA189" s="23">
        <f t="shared" si="100"/>
        <v>4.0315909090909088</v>
      </c>
      <c r="BB189" s="23">
        <f t="shared" si="101"/>
        <v>10.078977272727272</v>
      </c>
      <c r="BC189" s="23">
        <f t="shared" si="102"/>
        <v>0</v>
      </c>
      <c r="BD189" s="23">
        <f t="shared" si="103"/>
        <v>10.078977272727272</v>
      </c>
    </row>
    <row r="190" spans="1:56">
      <c r="A190" s="1" t="s">
        <v>20</v>
      </c>
      <c r="B190" s="1" t="s">
        <v>32</v>
      </c>
      <c r="C190" s="1" t="s">
        <v>22</v>
      </c>
      <c r="D190" s="1" t="s">
        <v>33</v>
      </c>
      <c r="E190" s="51" t="s">
        <v>107</v>
      </c>
      <c r="F190" s="51" t="s">
        <v>294</v>
      </c>
      <c r="G190" s="51" t="s">
        <v>109</v>
      </c>
      <c r="H190" s="51" t="s">
        <v>303</v>
      </c>
      <c r="I190" s="1" t="s">
        <v>128</v>
      </c>
      <c r="J190" s="51" t="s">
        <v>112</v>
      </c>
      <c r="K190" s="51" t="s">
        <v>112</v>
      </c>
      <c r="L190" s="51" t="s">
        <v>112</v>
      </c>
      <c r="M190" s="1">
        <v>1986197</v>
      </c>
      <c r="N190" s="52" t="s">
        <v>479</v>
      </c>
      <c r="O190" s="55">
        <f>DATE(2015,4,24)</f>
        <v>42118</v>
      </c>
      <c r="P190" s="55">
        <f>DATE(2018,4,30)</f>
        <v>43220</v>
      </c>
      <c r="Q190" s="51">
        <v>3120</v>
      </c>
      <c r="S190" s="51">
        <v>2.5</v>
      </c>
      <c r="U190" s="1">
        <f t="shared" si="74"/>
        <v>1103</v>
      </c>
      <c r="V190" s="31">
        <f t="shared" si="75"/>
        <v>2.8286491387126018</v>
      </c>
      <c r="W190" s="31">
        <f t="shared" si="76"/>
        <v>1032.4569356300997</v>
      </c>
      <c r="X190" s="31">
        <f t="shared" si="77"/>
        <v>1.2905711695376245</v>
      </c>
      <c r="AA190" s="32">
        <f t="shared" si="78"/>
        <v>42552</v>
      </c>
      <c r="AB190" s="32">
        <f t="shared" si="79"/>
        <v>42735</v>
      </c>
      <c r="AC190" s="52">
        <v>13</v>
      </c>
      <c r="AD190" s="1">
        <f t="shared" si="80"/>
        <v>184</v>
      </c>
      <c r="AE190" s="1">
        <f t="shared" si="81"/>
        <v>0</v>
      </c>
      <c r="AF190" s="1">
        <f t="shared" si="82"/>
        <v>0</v>
      </c>
      <c r="AG190" s="1">
        <f t="shared" si="83"/>
        <v>0</v>
      </c>
      <c r="AH190" s="1">
        <f t="shared" si="84"/>
        <v>0</v>
      </c>
      <c r="AI190" s="23">
        <f t="shared" si="85"/>
        <v>1</v>
      </c>
      <c r="AJ190" s="23">
        <f t="shared" si="86"/>
        <v>1.2905711695376245</v>
      </c>
      <c r="AK190" s="23">
        <f t="shared" si="87"/>
        <v>16.777425203989118</v>
      </c>
      <c r="AL190" s="23">
        <f t="shared" si="88"/>
        <v>41.943563009972792</v>
      </c>
      <c r="AM190" s="23">
        <f t="shared" si="89"/>
        <v>0</v>
      </c>
      <c r="AN190" s="23">
        <f t="shared" si="90"/>
        <v>41.943563009972792</v>
      </c>
      <c r="AQ190" s="32">
        <f t="shared" si="91"/>
        <v>42736</v>
      </c>
      <c r="AR190" s="32">
        <f t="shared" si="92"/>
        <v>42916</v>
      </c>
      <c r="AS190" s="52">
        <v>13</v>
      </c>
      <c r="AT190" s="1">
        <f t="shared" si="93"/>
        <v>181</v>
      </c>
      <c r="AU190" s="1">
        <f t="shared" si="94"/>
        <v>0</v>
      </c>
      <c r="AV190" s="1">
        <f t="shared" si="95"/>
        <v>0</v>
      </c>
      <c r="AW190" s="1">
        <f t="shared" si="96"/>
        <v>0</v>
      </c>
      <c r="AX190" s="1">
        <f t="shared" si="97"/>
        <v>0</v>
      </c>
      <c r="AY190" s="23">
        <f t="shared" si="98"/>
        <v>1</v>
      </c>
      <c r="AZ190" s="23">
        <f t="shared" si="99"/>
        <v>1.2905711695376245</v>
      </c>
      <c r="BA190" s="23">
        <f t="shared" si="100"/>
        <v>16.777425203989118</v>
      </c>
      <c r="BB190" s="23">
        <f t="shared" si="101"/>
        <v>41.943563009972792</v>
      </c>
      <c r="BC190" s="23">
        <f t="shared" si="102"/>
        <v>0</v>
      </c>
      <c r="BD190" s="23">
        <f t="shared" si="103"/>
        <v>41.943563009972792</v>
      </c>
    </row>
    <row r="191" spans="1:56">
      <c r="A191" s="1" t="s">
        <v>20</v>
      </c>
      <c r="B191" s="1" t="s">
        <v>32</v>
      </c>
      <c r="C191" s="1" t="s">
        <v>22</v>
      </c>
      <c r="D191" s="1" t="s">
        <v>33</v>
      </c>
      <c r="E191" s="51" t="s">
        <v>107</v>
      </c>
      <c r="F191" s="51" t="s">
        <v>114</v>
      </c>
      <c r="G191" s="51" t="s">
        <v>109</v>
      </c>
      <c r="H191" s="51" t="s">
        <v>311</v>
      </c>
      <c r="I191" s="1" t="s">
        <v>111</v>
      </c>
      <c r="J191" s="51" t="s">
        <v>112</v>
      </c>
      <c r="K191" s="51" t="s">
        <v>112</v>
      </c>
      <c r="L191" s="51" t="s">
        <v>112</v>
      </c>
      <c r="M191" s="1">
        <v>1986198</v>
      </c>
      <c r="N191" s="52" t="s">
        <v>480</v>
      </c>
      <c r="O191" s="55">
        <f>DATE(2015,4,27)</f>
        <v>42121</v>
      </c>
      <c r="P191" s="55">
        <f>DATE(2018,4,30)</f>
        <v>43220</v>
      </c>
      <c r="Q191" s="51">
        <v>3400</v>
      </c>
      <c r="S191" s="51">
        <v>2.5</v>
      </c>
      <c r="U191" s="1">
        <f t="shared" si="74"/>
        <v>1100</v>
      </c>
      <c r="V191" s="31">
        <f t="shared" si="75"/>
        <v>3.0909090909090908</v>
      </c>
      <c r="W191" s="31">
        <f t="shared" si="76"/>
        <v>1128.1818181818182</v>
      </c>
      <c r="X191" s="31">
        <f t="shared" si="77"/>
        <v>1.4102272727272729</v>
      </c>
      <c r="AA191" s="32">
        <f t="shared" si="78"/>
        <v>42552</v>
      </c>
      <c r="AB191" s="32">
        <f t="shared" si="79"/>
        <v>42735</v>
      </c>
      <c r="AC191" s="52">
        <v>28</v>
      </c>
      <c r="AD191" s="1">
        <f t="shared" si="80"/>
        <v>184</v>
      </c>
      <c r="AE191" s="1">
        <f t="shared" si="81"/>
        <v>0</v>
      </c>
      <c r="AF191" s="1">
        <f t="shared" si="82"/>
        <v>0</v>
      </c>
      <c r="AG191" s="1">
        <f t="shared" si="83"/>
        <v>0</v>
      </c>
      <c r="AH191" s="1">
        <f t="shared" si="84"/>
        <v>0</v>
      </c>
      <c r="AI191" s="23">
        <f t="shared" si="85"/>
        <v>1</v>
      </c>
      <c r="AJ191" s="23">
        <f t="shared" si="86"/>
        <v>1.4102272727272729</v>
      </c>
      <c r="AK191" s="23">
        <f t="shared" si="87"/>
        <v>39.486363636363642</v>
      </c>
      <c r="AL191" s="23">
        <f t="shared" si="88"/>
        <v>98.715909090909108</v>
      </c>
      <c r="AM191" s="23">
        <f t="shared" si="89"/>
        <v>0</v>
      </c>
      <c r="AN191" s="23">
        <f t="shared" si="90"/>
        <v>98.715909090909108</v>
      </c>
      <c r="AQ191" s="32">
        <f t="shared" si="91"/>
        <v>42736</v>
      </c>
      <c r="AR191" s="32">
        <f t="shared" si="92"/>
        <v>42916</v>
      </c>
      <c r="AS191" s="52">
        <v>27</v>
      </c>
      <c r="AT191" s="1">
        <f t="shared" si="93"/>
        <v>181</v>
      </c>
      <c r="AU191" s="1">
        <f t="shared" si="94"/>
        <v>0</v>
      </c>
      <c r="AV191" s="1">
        <f t="shared" si="95"/>
        <v>0</v>
      </c>
      <c r="AW191" s="1">
        <f t="shared" si="96"/>
        <v>0</v>
      </c>
      <c r="AX191" s="1">
        <f t="shared" si="97"/>
        <v>0</v>
      </c>
      <c r="AY191" s="23">
        <f t="shared" si="98"/>
        <v>1</v>
      </c>
      <c r="AZ191" s="23">
        <f t="shared" si="99"/>
        <v>1.4102272727272729</v>
      </c>
      <c r="BA191" s="23">
        <f t="shared" si="100"/>
        <v>38.076136363636365</v>
      </c>
      <c r="BB191" s="23">
        <f t="shared" si="101"/>
        <v>95.190340909090907</v>
      </c>
      <c r="BC191" s="23">
        <f t="shared" si="102"/>
        <v>0</v>
      </c>
      <c r="BD191" s="23">
        <f t="shared" si="103"/>
        <v>95.190340909090907</v>
      </c>
    </row>
    <row r="192" spans="1:56">
      <c r="A192" s="1" t="s">
        <v>20</v>
      </c>
      <c r="B192" s="1" t="s">
        <v>32</v>
      </c>
      <c r="C192" s="1" t="s">
        <v>22</v>
      </c>
      <c r="D192" s="1" t="s">
        <v>33</v>
      </c>
      <c r="E192" s="51" t="s">
        <v>107</v>
      </c>
      <c r="F192" s="51" t="s">
        <v>294</v>
      </c>
      <c r="G192" s="51" t="s">
        <v>109</v>
      </c>
      <c r="H192" s="51" t="s">
        <v>301</v>
      </c>
      <c r="I192" s="1" t="s">
        <v>111</v>
      </c>
      <c r="J192" s="51" t="s">
        <v>112</v>
      </c>
      <c r="K192" s="51" t="s">
        <v>112</v>
      </c>
      <c r="L192" s="51" t="s">
        <v>112</v>
      </c>
      <c r="M192" s="1">
        <v>1986199</v>
      </c>
      <c r="N192" s="52" t="s">
        <v>481</v>
      </c>
      <c r="O192" s="55">
        <f>DATE(2015,4,27)</f>
        <v>42121</v>
      </c>
      <c r="P192" s="55">
        <f>DATE(2018,4,30)</f>
        <v>43220</v>
      </c>
      <c r="Q192" s="51">
        <v>2705</v>
      </c>
      <c r="S192" s="51">
        <v>2</v>
      </c>
      <c r="U192" s="1">
        <f t="shared" si="74"/>
        <v>1100</v>
      </c>
      <c r="V192" s="31">
        <f t="shared" si="75"/>
        <v>2.459090909090909</v>
      </c>
      <c r="W192" s="31">
        <f t="shared" si="76"/>
        <v>897.56818181818176</v>
      </c>
      <c r="X192" s="31">
        <f t="shared" si="77"/>
        <v>1.1219602272727272</v>
      </c>
      <c r="AA192" s="32">
        <f t="shared" si="78"/>
        <v>42552</v>
      </c>
      <c r="AB192" s="32">
        <f t="shared" si="79"/>
        <v>42735</v>
      </c>
      <c r="AC192" s="52">
        <v>23</v>
      </c>
      <c r="AD192" s="1">
        <f t="shared" si="80"/>
        <v>184</v>
      </c>
      <c r="AE192" s="1">
        <f t="shared" si="81"/>
        <v>0</v>
      </c>
      <c r="AF192" s="1">
        <f t="shared" si="82"/>
        <v>0</v>
      </c>
      <c r="AG192" s="1">
        <f t="shared" si="83"/>
        <v>0</v>
      </c>
      <c r="AH192" s="1">
        <f t="shared" si="84"/>
        <v>0</v>
      </c>
      <c r="AI192" s="23">
        <f t="shared" si="85"/>
        <v>1</v>
      </c>
      <c r="AJ192" s="23">
        <f t="shared" si="86"/>
        <v>1.1219602272727272</v>
      </c>
      <c r="AK192" s="23">
        <f t="shared" si="87"/>
        <v>25.805085227272723</v>
      </c>
      <c r="AL192" s="23">
        <f t="shared" si="88"/>
        <v>51.610170454545447</v>
      </c>
      <c r="AM192" s="23">
        <f t="shared" si="89"/>
        <v>0</v>
      </c>
      <c r="AN192" s="23">
        <f t="shared" si="90"/>
        <v>51.610170454545447</v>
      </c>
      <c r="AQ192" s="32">
        <f t="shared" si="91"/>
        <v>42736</v>
      </c>
      <c r="AR192" s="32">
        <f t="shared" si="92"/>
        <v>42916</v>
      </c>
      <c r="AS192" s="52">
        <v>23</v>
      </c>
      <c r="AT192" s="1">
        <f t="shared" si="93"/>
        <v>181</v>
      </c>
      <c r="AU192" s="1">
        <f t="shared" si="94"/>
        <v>0</v>
      </c>
      <c r="AV192" s="1">
        <f t="shared" si="95"/>
        <v>0</v>
      </c>
      <c r="AW192" s="1">
        <f t="shared" si="96"/>
        <v>0</v>
      </c>
      <c r="AX192" s="1">
        <f t="shared" si="97"/>
        <v>0</v>
      </c>
      <c r="AY192" s="23">
        <f t="shared" si="98"/>
        <v>1</v>
      </c>
      <c r="AZ192" s="23">
        <f t="shared" si="99"/>
        <v>1.1219602272727272</v>
      </c>
      <c r="BA192" s="23">
        <f t="shared" si="100"/>
        <v>25.805085227272723</v>
      </c>
      <c r="BB192" s="23">
        <f t="shared" si="101"/>
        <v>51.610170454545447</v>
      </c>
      <c r="BC192" s="23">
        <f t="shared" si="102"/>
        <v>0</v>
      </c>
      <c r="BD192" s="23">
        <f t="shared" si="103"/>
        <v>51.610170454545447</v>
      </c>
    </row>
    <row r="193" spans="1:56">
      <c r="A193" s="1" t="s">
        <v>20</v>
      </c>
      <c r="B193" s="1" t="s">
        <v>32</v>
      </c>
      <c r="C193" s="1" t="s">
        <v>22</v>
      </c>
      <c r="D193" s="1" t="s">
        <v>33</v>
      </c>
      <c r="E193" s="51" t="s">
        <v>107</v>
      </c>
      <c r="F193" s="51" t="s">
        <v>294</v>
      </c>
      <c r="G193" s="51" t="s">
        <v>109</v>
      </c>
      <c r="H193" s="51" t="s">
        <v>301</v>
      </c>
      <c r="I193" s="1" t="s">
        <v>111</v>
      </c>
      <c r="J193" s="51" t="s">
        <v>112</v>
      </c>
      <c r="K193" s="51" t="s">
        <v>112</v>
      </c>
      <c r="L193" s="51" t="s">
        <v>112</v>
      </c>
      <c r="M193" s="1">
        <v>1986202</v>
      </c>
      <c r="N193" s="52" t="s">
        <v>482</v>
      </c>
      <c r="O193" s="55">
        <f>DATE(2015,11,3)</f>
        <v>42311</v>
      </c>
      <c r="P193" s="55">
        <f>DATE(2018,10,30)</f>
        <v>43403</v>
      </c>
      <c r="Q193" s="51">
        <v>2705</v>
      </c>
      <c r="S193" s="51">
        <v>2</v>
      </c>
      <c r="U193" s="1">
        <f t="shared" si="74"/>
        <v>1093</v>
      </c>
      <c r="V193" s="31">
        <f t="shared" si="75"/>
        <v>2.47483989021043</v>
      </c>
      <c r="W193" s="31">
        <f t="shared" si="76"/>
        <v>903.31655992680692</v>
      </c>
      <c r="X193" s="31">
        <f t="shared" si="77"/>
        <v>1.1291456999085085</v>
      </c>
      <c r="AA193" s="32">
        <f t="shared" si="78"/>
        <v>42552</v>
      </c>
      <c r="AB193" s="32">
        <f t="shared" si="79"/>
        <v>42735</v>
      </c>
      <c r="AC193" s="52">
        <v>19</v>
      </c>
      <c r="AD193" s="1">
        <f t="shared" si="80"/>
        <v>184</v>
      </c>
      <c r="AE193" s="1">
        <f t="shared" si="81"/>
        <v>0</v>
      </c>
      <c r="AF193" s="1">
        <f t="shared" si="82"/>
        <v>0</v>
      </c>
      <c r="AG193" s="1">
        <f t="shared" si="83"/>
        <v>0</v>
      </c>
      <c r="AH193" s="1">
        <f t="shared" si="84"/>
        <v>0</v>
      </c>
      <c r="AI193" s="23">
        <f t="shared" si="85"/>
        <v>1</v>
      </c>
      <c r="AJ193" s="23">
        <f t="shared" si="86"/>
        <v>1.1291456999085085</v>
      </c>
      <c r="AK193" s="23">
        <f t="shared" si="87"/>
        <v>21.453768298261661</v>
      </c>
      <c r="AL193" s="23">
        <f t="shared" si="88"/>
        <v>42.907536596523322</v>
      </c>
      <c r="AM193" s="23">
        <f t="shared" si="89"/>
        <v>0</v>
      </c>
      <c r="AN193" s="23">
        <f t="shared" si="90"/>
        <v>42.907536596523322</v>
      </c>
      <c r="AQ193" s="32">
        <f t="shared" si="91"/>
        <v>42736</v>
      </c>
      <c r="AR193" s="32">
        <f t="shared" si="92"/>
        <v>42916</v>
      </c>
      <c r="AS193" s="52">
        <v>19</v>
      </c>
      <c r="AT193" s="1">
        <f t="shared" si="93"/>
        <v>181</v>
      </c>
      <c r="AU193" s="1">
        <f t="shared" si="94"/>
        <v>0</v>
      </c>
      <c r="AV193" s="1">
        <f t="shared" si="95"/>
        <v>0</v>
      </c>
      <c r="AW193" s="1">
        <f t="shared" si="96"/>
        <v>0</v>
      </c>
      <c r="AX193" s="1">
        <f t="shared" si="97"/>
        <v>0</v>
      </c>
      <c r="AY193" s="23">
        <f t="shared" si="98"/>
        <v>1</v>
      </c>
      <c r="AZ193" s="23">
        <f t="shared" si="99"/>
        <v>1.1291456999085085</v>
      </c>
      <c r="BA193" s="23">
        <f t="shared" si="100"/>
        <v>21.453768298261661</v>
      </c>
      <c r="BB193" s="23">
        <f t="shared" si="101"/>
        <v>42.907536596523322</v>
      </c>
      <c r="BC193" s="23">
        <f t="shared" si="102"/>
        <v>0</v>
      </c>
      <c r="BD193" s="23">
        <f t="shared" si="103"/>
        <v>42.907536596523322</v>
      </c>
    </row>
    <row r="194" spans="1:56">
      <c r="A194" s="1" t="s">
        <v>20</v>
      </c>
      <c r="B194" s="1" t="s">
        <v>32</v>
      </c>
      <c r="C194" s="1" t="s">
        <v>22</v>
      </c>
      <c r="D194" s="1" t="s">
        <v>33</v>
      </c>
      <c r="E194" s="51" t="s">
        <v>107</v>
      </c>
      <c r="F194" s="51" t="s">
        <v>114</v>
      </c>
      <c r="G194" s="51" t="s">
        <v>109</v>
      </c>
      <c r="H194" s="51" t="s">
        <v>308</v>
      </c>
      <c r="I194" s="1" t="s">
        <v>309</v>
      </c>
      <c r="J194" s="51" t="s">
        <v>112</v>
      </c>
      <c r="K194" s="51" t="s">
        <v>112</v>
      </c>
      <c r="L194" s="51" t="s">
        <v>112</v>
      </c>
      <c r="M194" s="1">
        <v>1986204</v>
      </c>
      <c r="N194" s="52" t="s">
        <v>483</v>
      </c>
      <c r="O194" s="55">
        <f t="shared" ref="O194:O199" si="106">DATE(2015,4,27)</f>
        <v>42121</v>
      </c>
      <c r="P194" s="55">
        <f>DATE(2018,4,30)</f>
        <v>43220</v>
      </c>
      <c r="Q194" s="51">
        <v>3700</v>
      </c>
      <c r="S194" s="51">
        <v>2.5</v>
      </c>
      <c r="U194" s="1">
        <f t="shared" si="74"/>
        <v>1100</v>
      </c>
      <c r="V194" s="31">
        <f t="shared" si="75"/>
        <v>3.3636363636363638</v>
      </c>
      <c r="W194" s="31">
        <f t="shared" si="76"/>
        <v>1227.7272727272727</v>
      </c>
      <c r="X194" s="31">
        <f t="shared" si="77"/>
        <v>1.5346590909090909</v>
      </c>
      <c r="AA194" s="32">
        <f t="shared" si="78"/>
        <v>42552</v>
      </c>
      <c r="AB194" s="32">
        <f t="shared" si="79"/>
        <v>42735</v>
      </c>
      <c r="AC194" s="52">
        <v>30</v>
      </c>
      <c r="AD194" s="1">
        <f t="shared" si="80"/>
        <v>184</v>
      </c>
      <c r="AE194" s="1">
        <f t="shared" si="81"/>
        <v>0</v>
      </c>
      <c r="AF194" s="1">
        <f t="shared" si="82"/>
        <v>0</v>
      </c>
      <c r="AG194" s="1">
        <f t="shared" si="83"/>
        <v>0</v>
      </c>
      <c r="AH194" s="1">
        <f t="shared" si="84"/>
        <v>0</v>
      </c>
      <c r="AI194" s="23">
        <f t="shared" si="85"/>
        <v>1</v>
      </c>
      <c r="AJ194" s="23">
        <f t="shared" si="86"/>
        <v>1.5346590909090909</v>
      </c>
      <c r="AK194" s="23">
        <f t="shared" si="87"/>
        <v>46.039772727272727</v>
      </c>
      <c r="AL194" s="23">
        <f t="shared" si="88"/>
        <v>115.09943181818181</v>
      </c>
      <c r="AM194" s="23">
        <f t="shared" si="89"/>
        <v>0</v>
      </c>
      <c r="AN194" s="23">
        <f t="shared" si="90"/>
        <v>115.09943181818181</v>
      </c>
      <c r="AQ194" s="32">
        <f t="shared" si="91"/>
        <v>42736</v>
      </c>
      <c r="AR194" s="32">
        <f t="shared" si="92"/>
        <v>42916</v>
      </c>
      <c r="AS194" s="52">
        <v>30</v>
      </c>
      <c r="AT194" s="1">
        <f t="shared" si="93"/>
        <v>181</v>
      </c>
      <c r="AU194" s="1">
        <f t="shared" si="94"/>
        <v>0</v>
      </c>
      <c r="AV194" s="1">
        <f t="shared" si="95"/>
        <v>0</v>
      </c>
      <c r="AW194" s="1">
        <f t="shared" si="96"/>
        <v>0</v>
      </c>
      <c r="AX194" s="1">
        <f t="shared" si="97"/>
        <v>0</v>
      </c>
      <c r="AY194" s="23">
        <f t="shared" si="98"/>
        <v>1</v>
      </c>
      <c r="AZ194" s="23">
        <f t="shared" si="99"/>
        <v>1.5346590909090909</v>
      </c>
      <c r="BA194" s="23">
        <f t="shared" si="100"/>
        <v>46.039772727272727</v>
      </c>
      <c r="BB194" s="23">
        <f t="shared" si="101"/>
        <v>115.09943181818181</v>
      </c>
      <c r="BC194" s="23">
        <f t="shared" si="102"/>
        <v>0</v>
      </c>
      <c r="BD194" s="23">
        <f t="shared" si="103"/>
        <v>115.09943181818181</v>
      </c>
    </row>
    <row r="195" spans="1:56">
      <c r="A195" s="1" t="s">
        <v>20</v>
      </c>
      <c r="B195" s="1" t="s">
        <v>32</v>
      </c>
      <c r="C195" s="1" t="s">
        <v>22</v>
      </c>
      <c r="D195" s="1" t="s">
        <v>33</v>
      </c>
      <c r="E195" s="51" t="s">
        <v>107</v>
      </c>
      <c r="F195" s="51" t="s">
        <v>114</v>
      </c>
      <c r="G195" s="51" t="s">
        <v>109</v>
      </c>
      <c r="H195" s="51" t="s">
        <v>317</v>
      </c>
      <c r="I195" s="1" t="s">
        <v>116</v>
      </c>
      <c r="J195" s="51" t="s">
        <v>112</v>
      </c>
      <c r="K195" s="51" t="s">
        <v>112</v>
      </c>
      <c r="L195" s="51" t="s">
        <v>112</v>
      </c>
      <c r="M195" s="1">
        <v>1986207</v>
      </c>
      <c r="N195" s="52" t="s">
        <v>484</v>
      </c>
      <c r="O195" s="55">
        <f t="shared" si="106"/>
        <v>42121</v>
      </c>
      <c r="P195" s="55">
        <f>DATE(2018,4,30)</f>
        <v>43220</v>
      </c>
      <c r="Q195" s="51">
        <v>3200</v>
      </c>
      <c r="S195" s="51">
        <v>2.5</v>
      </c>
      <c r="U195" s="1">
        <f t="shared" si="74"/>
        <v>1100</v>
      </c>
      <c r="V195" s="31">
        <f t="shared" si="75"/>
        <v>2.9090909090909092</v>
      </c>
      <c r="W195" s="31">
        <f t="shared" si="76"/>
        <v>1061.8181818181818</v>
      </c>
      <c r="X195" s="31">
        <f t="shared" si="77"/>
        <v>1.3272727272727272</v>
      </c>
      <c r="AA195" s="32">
        <f t="shared" si="78"/>
        <v>42552</v>
      </c>
      <c r="AB195" s="32">
        <f t="shared" si="79"/>
        <v>42735</v>
      </c>
      <c r="AC195" s="52">
        <v>25</v>
      </c>
      <c r="AD195" s="1">
        <f t="shared" si="80"/>
        <v>184</v>
      </c>
      <c r="AE195" s="1">
        <f t="shared" si="81"/>
        <v>0</v>
      </c>
      <c r="AF195" s="1">
        <f t="shared" si="82"/>
        <v>0</v>
      </c>
      <c r="AG195" s="1">
        <f t="shared" si="83"/>
        <v>0</v>
      </c>
      <c r="AH195" s="1">
        <f t="shared" si="84"/>
        <v>0</v>
      </c>
      <c r="AI195" s="23">
        <f t="shared" si="85"/>
        <v>1</v>
      </c>
      <c r="AJ195" s="23">
        <f t="shared" si="86"/>
        <v>1.3272727272727272</v>
      </c>
      <c r="AK195" s="23">
        <f t="shared" si="87"/>
        <v>33.18181818181818</v>
      </c>
      <c r="AL195" s="23">
        <f t="shared" si="88"/>
        <v>82.954545454545453</v>
      </c>
      <c r="AM195" s="23">
        <f t="shared" si="89"/>
        <v>0</v>
      </c>
      <c r="AN195" s="23">
        <f t="shared" si="90"/>
        <v>82.954545454545453</v>
      </c>
      <c r="AQ195" s="32">
        <f t="shared" si="91"/>
        <v>42736</v>
      </c>
      <c r="AR195" s="32">
        <f t="shared" si="92"/>
        <v>42916</v>
      </c>
      <c r="AS195" s="52">
        <v>25</v>
      </c>
      <c r="AT195" s="1">
        <f t="shared" si="93"/>
        <v>181</v>
      </c>
      <c r="AU195" s="1">
        <f t="shared" si="94"/>
        <v>0</v>
      </c>
      <c r="AV195" s="1">
        <f t="shared" si="95"/>
        <v>0</v>
      </c>
      <c r="AW195" s="1">
        <f t="shared" si="96"/>
        <v>0</v>
      </c>
      <c r="AX195" s="1">
        <f t="shared" si="97"/>
        <v>0</v>
      </c>
      <c r="AY195" s="23">
        <f t="shared" si="98"/>
        <v>1</v>
      </c>
      <c r="AZ195" s="23">
        <f t="shared" si="99"/>
        <v>1.3272727272727272</v>
      </c>
      <c r="BA195" s="23">
        <f t="shared" si="100"/>
        <v>33.18181818181818</v>
      </c>
      <c r="BB195" s="23">
        <f t="shared" si="101"/>
        <v>82.954545454545453</v>
      </c>
      <c r="BC195" s="23">
        <f t="shared" si="102"/>
        <v>0</v>
      </c>
      <c r="BD195" s="23">
        <f t="shared" si="103"/>
        <v>82.954545454545453</v>
      </c>
    </row>
    <row r="196" spans="1:56">
      <c r="A196" s="1" t="s">
        <v>20</v>
      </c>
      <c r="B196" s="1" t="s">
        <v>32</v>
      </c>
      <c r="C196" s="1" t="s">
        <v>22</v>
      </c>
      <c r="D196" s="1" t="s">
        <v>33</v>
      </c>
      <c r="E196" s="51" t="s">
        <v>107</v>
      </c>
      <c r="F196" s="51" t="s">
        <v>114</v>
      </c>
      <c r="G196" s="51" t="s">
        <v>109</v>
      </c>
      <c r="H196" s="51" t="s">
        <v>313</v>
      </c>
      <c r="I196" s="1" t="s">
        <v>116</v>
      </c>
      <c r="J196" s="51" t="s">
        <v>112</v>
      </c>
      <c r="K196" s="51" t="s">
        <v>112</v>
      </c>
      <c r="L196" s="51" t="s">
        <v>112</v>
      </c>
      <c r="M196" s="1">
        <v>1986208</v>
      </c>
      <c r="N196" s="52" t="s">
        <v>485</v>
      </c>
      <c r="O196" s="55">
        <f t="shared" si="106"/>
        <v>42121</v>
      </c>
      <c r="P196" s="55">
        <f>DATE(2018,4,30)</f>
        <v>43220</v>
      </c>
      <c r="Q196" s="51">
        <v>3220</v>
      </c>
      <c r="S196" s="51">
        <v>2.5</v>
      </c>
      <c r="U196" s="1">
        <f t="shared" ref="U196:U259" si="107">P196-O196+1</f>
        <v>1100</v>
      </c>
      <c r="V196" s="31">
        <f t="shared" ref="V196:V259" si="108">Q196/U196</f>
        <v>2.9272727272727272</v>
      </c>
      <c r="W196" s="31">
        <f t="shared" ref="W196:W259" si="109">IF(U196&gt;365,V196*365,Q196)</f>
        <v>1068.4545454545455</v>
      </c>
      <c r="X196" s="31">
        <f t="shared" ref="X196:X259" si="110">IF(U196&gt;365,W196/800,Q196/800)</f>
        <v>1.3355681818181819</v>
      </c>
      <c r="AA196" s="32">
        <f t="shared" ref="AA196:AA259" si="111">DATE(2016,7,1)</f>
        <v>42552</v>
      </c>
      <c r="AB196" s="32">
        <f t="shared" ref="AB196:AB259" si="112">DATE(2016,12,31)</f>
        <v>42735</v>
      </c>
      <c r="AC196" s="52">
        <v>33</v>
      </c>
      <c r="AD196" s="1">
        <f t="shared" ref="AD196:AD259" si="113">IF(AND(O196&lt;AA196,P196&gt;AB196),AB196-AA196+1,0)</f>
        <v>184</v>
      </c>
      <c r="AE196" s="1">
        <f t="shared" ref="AE196:AE259" si="114">IF(AND(O196&gt;=AA196,P196&gt;AB196,O196&lt;AB196),AB196-O196+1,0)</f>
        <v>0</v>
      </c>
      <c r="AF196" s="1">
        <f t="shared" ref="AF196:AF259" si="115">IF(AND(O196&lt;AA196,P196&lt;=AB196,P196&gt;=AA196),P196-AA196+1,0)</f>
        <v>0</v>
      </c>
      <c r="AG196" s="1">
        <f t="shared" ref="AG196:AG259" si="116">IF(AND(O196&gt;=AA196,P196&lt;=AB196),P196-O196+1,0)</f>
        <v>0</v>
      </c>
      <c r="AH196" s="1">
        <f t="shared" ref="AH196:AH259" si="117">IF(AND(O196&lt;AA196,P196&lt;AA196),(AB196-AA196+1)/2,0)</f>
        <v>0</v>
      </c>
      <c r="AI196" s="23">
        <f t="shared" ref="AI196:AI259" si="118">SUM(AD196:AH196)/(AB196-AA196+1)</f>
        <v>1</v>
      </c>
      <c r="AJ196" s="23">
        <f t="shared" ref="AJ196:AJ259" si="119">X196*AI196</f>
        <v>1.3355681818181819</v>
      </c>
      <c r="AK196" s="23">
        <f t="shared" ref="AK196:AK259" si="120">IF(AH196=0,AJ196*AC196,IF(AA196-P196&gt;1095,0,AJ196*(AC196/2)))</f>
        <v>44.073750000000004</v>
      </c>
      <c r="AL196" s="23">
        <f t="shared" ref="AL196:AL259" si="121">AK196*S196</f>
        <v>110.18437500000002</v>
      </c>
      <c r="AM196" s="23">
        <f t="shared" ref="AM196:AM259" si="122">IF(J196="SIM",AL196*50%,0)</f>
        <v>0</v>
      </c>
      <c r="AN196" s="23">
        <f t="shared" ref="AN196:AN259" si="123">AL196+AM196</f>
        <v>110.18437500000002</v>
      </c>
      <c r="AQ196" s="32">
        <f t="shared" ref="AQ196:AQ259" si="124">DATE(2017,1,1)</f>
        <v>42736</v>
      </c>
      <c r="AR196" s="32">
        <f t="shared" ref="AR196:AR259" si="125">DATE(2017,6,30)</f>
        <v>42916</v>
      </c>
      <c r="AS196" s="52">
        <v>33</v>
      </c>
      <c r="AT196" s="1">
        <f t="shared" ref="AT196:AT259" si="126">IF(AND(O196&lt;AQ196,P196&gt;AR196),AR196-AQ196+1,0)</f>
        <v>181</v>
      </c>
      <c r="AU196" s="1">
        <f t="shared" ref="AU196:AU259" si="127">IF(AND(O196&gt;=AQ196,P196&gt;AR196,O196&lt;AR196),AR196-O196+1,0)</f>
        <v>0</v>
      </c>
      <c r="AV196" s="1">
        <f t="shared" ref="AV196:AV259" si="128">IF(AND(O196&lt;AQ196,P196&lt;=AR196,P196&gt;=AQ196),P196-AQ196+1,0)</f>
        <v>0</v>
      </c>
      <c r="AW196" s="1">
        <f t="shared" ref="AW196:AW259" si="129">IF(AND(O196&gt;=AQ196,P196&lt;=AR196),P196-O196+1,0)</f>
        <v>0</v>
      </c>
      <c r="AX196" s="1">
        <f t="shared" ref="AX196:AX259" si="130">IF(AND(O196&lt;AQ196,P196&lt;AQ196),(AR196-AQ196+1)/2,0)</f>
        <v>0</v>
      </c>
      <c r="AY196" s="23">
        <f t="shared" ref="AY196:AY259" si="131">SUM(AT196:AX196)/(AR196-AQ196+1)</f>
        <v>1</v>
      </c>
      <c r="AZ196" s="23">
        <f t="shared" ref="AZ196:AZ259" si="132">X196*AY196</f>
        <v>1.3355681818181819</v>
      </c>
      <c r="BA196" s="23">
        <f t="shared" ref="BA196:BA259" si="133">IF(AX196=0,AZ196*AS196,IF(AQ196-P196&gt;1095,0,AZ196*(AS196/2)))</f>
        <v>44.073750000000004</v>
      </c>
      <c r="BB196" s="23">
        <f t="shared" ref="BB196:BB259" si="134">BA196*S196</f>
        <v>110.18437500000002</v>
      </c>
      <c r="BC196" s="23">
        <f t="shared" ref="BC196:BC259" si="135">IF(J196="SIM",BB196*50%,0)</f>
        <v>0</v>
      </c>
      <c r="BD196" s="23">
        <f t="shared" ref="BD196:BD259" si="136">BB196+BC196</f>
        <v>110.18437500000002</v>
      </c>
    </row>
    <row r="197" spans="1:56">
      <c r="A197" s="1" t="s">
        <v>20</v>
      </c>
      <c r="B197" s="1" t="s">
        <v>32</v>
      </c>
      <c r="C197" s="1" t="s">
        <v>22</v>
      </c>
      <c r="D197" s="1" t="s">
        <v>33</v>
      </c>
      <c r="E197" s="51" t="s">
        <v>107</v>
      </c>
      <c r="F197" s="51" t="s">
        <v>114</v>
      </c>
      <c r="G197" s="51" t="s">
        <v>109</v>
      </c>
      <c r="H197" s="51" t="s">
        <v>315</v>
      </c>
      <c r="I197" s="1" t="s">
        <v>147</v>
      </c>
      <c r="J197" s="51" t="s">
        <v>112</v>
      </c>
      <c r="K197" s="51" t="s">
        <v>112</v>
      </c>
      <c r="L197" s="51" t="s">
        <v>112</v>
      </c>
      <c r="M197" s="1">
        <v>1986209</v>
      </c>
      <c r="N197" s="52" t="s">
        <v>486</v>
      </c>
      <c r="O197" s="55">
        <f t="shared" si="106"/>
        <v>42121</v>
      </c>
      <c r="P197" s="55">
        <f>DATE(2018,4,30)</f>
        <v>43220</v>
      </c>
      <c r="Q197" s="51">
        <v>3240</v>
      </c>
      <c r="S197" s="51">
        <v>2.5</v>
      </c>
      <c r="U197" s="1">
        <f t="shared" si="107"/>
        <v>1100</v>
      </c>
      <c r="V197" s="31">
        <f t="shared" si="108"/>
        <v>2.9454545454545453</v>
      </c>
      <c r="W197" s="31">
        <f t="shared" si="109"/>
        <v>1075.090909090909</v>
      </c>
      <c r="X197" s="31">
        <f t="shared" si="110"/>
        <v>1.3438636363636363</v>
      </c>
      <c r="AA197" s="32">
        <f t="shared" si="111"/>
        <v>42552</v>
      </c>
      <c r="AB197" s="32">
        <f t="shared" si="112"/>
        <v>42735</v>
      </c>
      <c r="AC197" s="52">
        <v>22</v>
      </c>
      <c r="AD197" s="1">
        <f t="shared" si="113"/>
        <v>184</v>
      </c>
      <c r="AE197" s="1">
        <f t="shared" si="114"/>
        <v>0</v>
      </c>
      <c r="AF197" s="1">
        <f t="shared" si="115"/>
        <v>0</v>
      </c>
      <c r="AG197" s="1">
        <f t="shared" si="116"/>
        <v>0</v>
      </c>
      <c r="AH197" s="1">
        <f t="shared" si="117"/>
        <v>0</v>
      </c>
      <c r="AI197" s="23">
        <f t="shared" si="118"/>
        <v>1</v>
      </c>
      <c r="AJ197" s="23">
        <f t="shared" si="119"/>
        <v>1.3438636363636363</v>
      </c>
      <c r="AK197" s="23">
        <f t="shared" si="120"/>
        <v>29.564999999999998</v>
      </c>
      <c r="AL197" s="23">
        <f t="shared" si="121"/>
        <v>73.912499999999994</v>
      </c>
      <c r="AM197" s="23">
        <f t="shared" si="122"/>
        <v>0</v>
      </c>
      <c r="AN197" s="23">
        <f t="shared" si="123"/>
        <v>73.912499999999994</v>
      </c>
      <c r="AQ197" s="32">
        <f t="shared" si="124"/>
        <v>42736</v>
      </c>
      <c r="AR197" s="32">
        <f t="shared" si="125"/>
        <v>42916</v>
      </c>
      <c r="AS197" s="52">
        <v>22</v>
      </c>
      <c r="AT197" s="1">
        <f t="shared" si="126"/>
        <v>181</v>
      </c>
      <c r="AU197" s="1">
        <f t="shared" si="127"/>
        <v>0</v>
      </c>
      <c r="AV197" s="1">
        <f t="shared" si="128"/>
        <v>0</v>
      </c>
      <c r="AW197" s="1">
        <f t="shared" si="129"/>
        <v>0</v>
      </c>
      <c r="AX197" s="1">
        <f t="shared" si="130"/>
        <v>0</v>
      </c>
      <c r="AY197" s="23">
        <f t="shared" si="131"/>
        <v>1</v>
      </c>
      <c r="AZ197" s="23">
        <f t="shared" si="132"/>
        <v>1.3438636363636363</v>
      </c>
      <c r="BA197" s="23">
        <f t="shared" si="133"/>
        <v>29.564999999999998</v>
      </c>
      <c r="BB197" s="23">
        <f t="shared" si="134"/>
        <v>73.912499999999994</v>
      </c>
      <c r="BC197" s="23">
        <f t="shared" si="135"/>
        <v>0</v>
      </c>
      <c r="BD197" s="23">
        <f t="shared" si="136"/>
        <v>73.912499999999994</v>
      </c>
    </row>
    <row r="198" spans="1:56">
      <c r="A198" s="1" t="s">
        <v>20</v>
      </c>
      <c r="B198" s="1" t="s">
        <v>32</v>
      </c>
      <c r="C198" s="1" t="s">
        <v>22</v>
      </c>
      <c r="D198" s="1" t="s">
        <v>33</v>
      </c>
      <c r="E198" s="51" t="s">
        <v>107</v>
      </c>
      <c r="F198" s="51" t="s">
        <v>265</v>
      </c>
      <c r="G198" s="51" t="s">
        <v>109</v>
      </c>
      <c r="H198" s="51" t="s">
        <v>266</v>
      </c>
      <c r="I198" s="1" t="s">
        <v>111</v>
      </c>
      <c r="J198" s="51" t="s">
        <v>112</v>
      </c>
      <c r="K198" s="51" t="s">
        <v>112</v>
      </c>
      <c r="L198" s="51" t="s">
        <v>112</v>
      </c>
      <c r="M198" s="1">
        <v>1986210</v>
      </c>
      <c r="N198" s="52" t="s">
        <v>487</v>
      </c>
      <c r="O198" s="55">
        <f t="shared" si="106"/>
        <v>42121</v>
      </c>
      <c r="P198" s="55">
        <f>DATE(2020,4,2)</f>
        <v>43923</v>
      </c>
      <c r="Q198" s="51">
        <v>4380</v>
      </c>
      <c r="S198" s="51">
        <v>2.5</v>
      </c>
      <c r="U198" s="1">
        <f t="shared" si="107"/>
        <v>1803</v>
      </c>
      <c r="V198" s="31">
        <f t="shared" si="108"/>
        <v>2.4292845257903495</v>
      </c>
      <c r="W198" s="31">
        <f t="shared" si="109"/>
        <v>886.68885191347761</v>
      </c>
      <c r="X198" s="31">
        <f t="shared" si="110"/>
        <v>1.1083610648918469</v>
      </c>
      <c r="AA198" s="32">
        <f t="shared" si="111"/>
        <v>42552</v>
      </c>
      <c r="AB198" s="32">
        <f t="shared" si="112"/>
        <v>42735</v>
      </c>
      <c r="AC198" s="52">
        <v>16</v>
      </c>
      <c r="AD198" s="1">
        <f t="shared" si="113"/>
        <v>184</v>
      </c>
      <c r="AE198" s="1">
        <f t="shared" si="114"/>
        <v>0</v>
      </c>
      <c r="AF198" s="1">
        <f t="shared" si="115"/>
        <v>0</v>
      </c>
      <c r="AG198" s="1">
        <f t="shared" si="116"/>
        <v>0</v>
      </c>
      <c r="AH198" s="1">
        <f t="shared" si="117"/>
        <v>0</v>
      </c>
      <c r="AI198" s="23">
        <f t="shared" si="118"/>
        <v>1</v>
      </c>
      <c r="AJ198" s="23">
        <f t="shared" si="119"/>
        <v>1.1083610648918469</v>
      </c>
      <c r="AK198" s="23">
        <f t="shared" si="120"/>
        <v>17.733777038269551</v>
      </c>
      <c r="AL198" s="23">
        <f t="shared" si="121"/>
        <v>44.334442595673877</v>
      </c>
      <c r="AM198" s="23">
        <f t="shared" si="122"/>
        <v>0</v>
      </c>
      <c r="AN198" s="23">
        <f t="shared" si="123"/>
        <v>44.334442595673877</v>
      </c>
      <c r="AQ198" s="32">
        <f t="shared" si="124"/>
        <v>42736</v>
      </c>
      <c r="AR198" s="32">
        <f t="shared" si="125"/>
        <v>42916</v>
      </c>
      <c r="AS198" s="52">
        <v>16</v>
      </c>
      <c r="AT198" s="1">
        <f t="shared" si="126"/>
        <v>181</v>
      </c>
      <c r="AU198" s="1">
        <f t="shared" si="127"/>
        <v>0</v>
      </c>
      <c r="AV198" s="1">
        <f t="shared" si="128"/>
        <v>0</v>
      </c>
      <c r="AW198" s="1">
        <f t="shared" si="129"/>
        <v>0</v>
      </c>
      <c r="AX198" s="1">
        <f t="shared" si="130"/>
        <v>0</v>
      </c>
      <c r="AY198" s="23">
        <f t="shared" si="131"/>
        <v>1</v>
      </c>
      <c r="AZ198" s="23">
        <f t="shared" si="132"/>
        <v>1.1083610648918469</v>
      </c>
      <c r="BA198" s="23">
        <f t="shared" si="133"/>
        <v>17.733777038269551</v>
      </c>
      <c r="BB198" s="23">
        <f t="shared" si="134"/>
        <v>44.334442595673877</v>
      </c>
      <c r="BC198" s="23">
        <f t="shared" si="135"/>
        <v>0</v>
      </c>
      <c r="BD198" s="23">
        <f t="shared" si="136"/>
        <v>44.334442595673877</v>
      </c>
    </row>
    <row r="199" spans="1:56">
      <c r="A199" s="1" t="s">
        <v>20</v>
      </c>
      <c r="B199" s="1" t="s">
        <v>32</v>
      </c>
      <c r="C199" s="1" t="s">
        <v>22</v>
      </c>
      <c r="D199" s="1" t="s">
        <v>33</v>
      </c>
      <c r="E199" s="51" t="s">
        <v>107</v>
      </c>
      <c r="F199" s="51" t="s">
        <v>265</v>
      </c>
      <c r="G199" s="51" t="s">
        <v>109</v>
      </c>
      <c r="H199" s="51" t="s">
        <v>269</v>
      </c>
      <c r="I199" s="1" t="s">
        <v>125</v>
      </c>
      <c r="J199" s="51" t="s">
        <v>112</v>
      </c>
      <c r="K199" s="51" t="s">
        <v>112</v>
      </c>
      <c r="L199" s="51" t="s">
        <v>112</v>
      </c>
      <c r="M199" s="1">
        <v>1986211</v>
      </c>
      <c r="N199" s="52" t="s">
        <v>488</v>
      </c>
      <c r="O199" s="55">
        <f t="shared" si="106"/>
        <v>42121</v>
      </c>
      <c r="P199" s="55">
        <f>DATE(2019,10,30)</f>
        <v>43768</v>
      </c>
      <c r="Q199" s="51">
        <v>4260</v>
      </c>
      <c r="S199" s="51">
        <v>2.5</v>
      </c>
      <c r="U199" s="1">
        <f t="shared" si="107"/>
        <v>1648</v>
      </c>
      <c r="V199" s="31">
        <f t="shared" si="108"/>
        <v>2.5849514563106797</v>
      </c>
      <c r="W199" s="31">
        <f t="shared" si="109"/>
        <v>943.50728155339812</v>
      </c>
      <c r="X199" s="31">
        <f t="shared" si="110"/>
        <v>1.1793841019417477</v>
      </c>
      <c r="AA199" s="32">
        <f t="shared" si="111"/>
        <v>42552</v>
      </c>
      <c r="AB199" s="32">
        <f t="shared" si="112"/>
        <v>42735</v>
      </c>
      <c r="AC199" s="52">
        <v>21</v>
      </c>
      <c r="AD199" s="1">
        <f t="shared" si="113"/>
        <v>184</v>
      </c>
      <c r="AE199" s="1">
        <f t="shared" si="114"/>
        <v>0</v>
      </c>
      <c r="AF199" s="1">
        <f t="shared" si="115"/>
        <v>0</v>
      </c>
      <c r="AG199" s="1">
        <f t="shared" si="116"/>
        <v>0</v>
      </c>
      <c r="AH199" s="1">
        <f t="shared" si="117"/>
        <v>0</v>
      </c>
      <c r="AI199" s="23">
        <f t="shared" si="118"/>
        <v>1</v>
      </c>
      <c r="AJ199" s="23">
        <f t="shared" si="119"/>
        <v>1.1793841019417477</v>
      </c>
      <c r="AK199" s="23">
        <f t="shared" si="120"/>
        <v>24.767066140776702</v>
      </c>
      <c r="AL199" s="23">
        <f t="shared" si="121"/>
        <v>61.917665351941757</v>
      </c>
      <c r="AM199" s="23">
        <f t="shared" si="122"/>
        <v>0</v>
      </c>
      <c r="AN199" s="23">
        <f t="shared" si="123"/>
        <v>61.917665351941757</v>
      </c>
      <c r="AQ199" s="32">
        <f t="shared" si="124"/>
        <v>42736</v>
      </c>
      <c r="AR199" s="32">
        <f t="shared" si="125"/>
        <v>42916</v>
      </c>
      <c r="AS199" s="52">
        <v>20</v>
      </c>
      <c r="AT199" s="1">
        <f t="shared" si="126"/>
        <v>181</v>
      </c>
      <c r="AU199" s="1">
        <f t="shared" si="127"/>
        <v>0</v>
      </c>
      <c r="AV199" s="1">
        <f t="shared" si="128"/>
        <v>0</v>
      </c>
      <c r="AW199" s="1">
        <f t="shared" si="129"/>
        <v>0</v>
      </c>
      <c r="AX199" s="1">
        <f t="shared" si="130"/>
        <v>0</v>
      </c>
      <c r="AY199" s="23">
        <f t="shared" si="131"/>
        <v>1</v>
      </c>
      <c r="AZ199" s="23">
        <f t="shared" si="132"/>
        <v>1.1793841019417477</v>
      </c>
      <c r="BA199" s="23">
        <f t="shared" si="133"/>
        <v>23.587682038834956</v>
      </c>
      <c r="BB199" s="23">
        <f t="shared" si="134"/>
        <v>58.969205097087389</v>
      </c>
      <c r="BC199" s="23">
        <f t="shared" si="135"/>
        <v>0</v>
      </c>
      <c r="BD199" s="23">
        <f t="shared" si="136"/>
        <v>58.969205097087389</v>
      </c>
    </row>
    <row r="200" spans="1:56">
      <c r="A200" s="1" t="s">
        <v>20</v>
      </c>
      <c r="B200" s="1" t="s">
        <v>32</v>
      </c>
      <c r="C200" s="1" t="s">
        <v>22</v>
      </c>
      <c r="D200" s="1" t="s">
        <v>33</v>
      </c>
      <c r="E200" s="51" t="s">
        <v>107</v>
      </c>
      <c r="F200" s="51" t="s">
        <v>108</v>
      </c>
      <c r="G200" s="51" t="s">
        <v>109</v>
      </c>
      <c r="H200" s="51" t="s">
        <v>285</v>
      </c>
      <c r="I200" s="1" t="s">
        <v>125</v>
      </c>
      <c r="J200" s="51" t="s">
        <v>112</v>
      </c>
      <c r="K200" s="51" t="s">
        <v>112</v>
      </c>
      <c r="L200" s="51" t="s">
        <v>112</v>
      </c>
      <c r="M200" s="1">
        <v>1987719</v>
      </c>
      <c r="N200" s="50" t="s">
        <v>489</v>
      </c>
      <c r="O200" s="55">
        <f t="shared" ref="O200:O224" si="137">DATE(2015,5,14)</f>
        <v>42138</v>
      </c>
      <c r="P200" s="55">
        <f t="shared" ref="P200:P213" si="138">DATE(2016,10,30)</f>
        <v>42673</v>
      </c>
      <c r="Q200" s="51">
        <v>1340</v>
      </c>
      <c r="S200" s="51">
        <v>2.5</v>
      </c>
      <c r="U200" s="1">
        <f t="shared" si="107"/>
        <v>536</v>
      </c>
      <c r="V200" s="31">
        <f t="shared" si="108"/>
        <v>2.5</v>
      </c>
      <c r="W200" s="31">
        <f t="shared" si="109"/>
        <v>912.5</v>
      </c>
      <c r="X200" s="31">
        <f t="shared" si="110"/>
        <v>1.140625</v>
      </c>
      <c r="AA200" s="32">
        <f t="shared" si="111"/>
        <v>42552</v>
      </c>
      <c r="AB200" s="32">
        <f t="shared" si="112"/>
        <v>42735</v>
      </c>
      <c r="AC200" s="50">
        <v>9</v>
      </c>
      <c r="AD200" s="1">
        <f t="shared" si="113"/>
        <v>0</v>
      </c>
      <c r="AE200" s="1">
        <f t="shared" si="114"/>
        <v>0</v>
      </c>
      <c r="AF200" s="1">
        <f t="shared" si="115"/>
        <v>122</v>
      </c>
      <c r="AG200" s="1">
        <f t="shared" si="116"/>
        <v>0</v>
      </c>
      <c r="AH200" s="1">
        <f t="shared" si="117"/>
        <v>0</v>
      </c>
      <c r="AI200" s="23">
        <f t="shared" si="118"/>
        <v>0.66304347826086951</v>
      </c>
      <c r="AJ200" s="23">
        <f t="shared" si="119"/>
        <v>0.75628396739130432</v>
      </c>
      <c r="AK200" s="23">
        <f t="shared" si="120"/>
        <v>6.8065557065217392</v>
      </c>
      <c r="AL200" s="23">
        <f t="shared" si="121"/>
        <v>17.016389266304348</v>
      </c>
      <c r="AM200" s="23">
        <f t="shared" si="122"/>
        <v>0</v>
      </c>
      <c r="AN200" s="23">
        <f t="shared" si="123"/>
        <v>17.016389266304348</v>
      </c>
      <c r="AQ200" s="32">
        <f t="shared" si="124"/>
        <v>42736</v>
      </c>
      <c r="AR200" s="32">
        <f t="shared" si="125"/>
        <v>42916</v>
      </c>
      <c r="AS200" s="50">
        <v>9</v>
      </c>
      <c r="AT200" s="1">
        <f t="shared" si="126"/>
        <v>0</v>
      </c>
      <c r="AU200" s="1">
        <f t="shared" si="127"/>
        <v>0</v>
      </c>
      <c r="AV200" s="1">
        <f t="shared" si="128"/>
        <v>0</v>
      </c>
      <c r="AW200" s="1">
        <f t="shared" si="129"/>
        <v>0</v>
      </c>
      <c r="AX200" s="1">
        <f t="shared" si="130"/>
        <v>90.5</v>
      </c>
      <c r="AY200" s="23">
        <f t="shared" si="131"/>
        <v>0.5</v>
      </c>
      <c r="AZ200" s="23">
        <f t="shared" si="132"/>
        <v>0.5703125</v>
      </c>
      <c r="BA200" s="23">
        <f t="shared" si="133"/>
        <v>2.56640625</v>
      </c>
      <c r="BB200" s="23">
        <f t="shared" si="134"/>
        <v>6.416015625</v>
      </c>
      <c r="BC200" s="23">
        <f t="shared" si="135"/>
        <v>0</v>
      </c>
      <c r="BD200" s="23">
        <f t="shared" si="136"/>
        <v>6.416015625</v>
      </c>
    </row>
    <row r="201" spans="1:56">
      <c r="A201" s="1" t="s">
        <v>20</v>
      </c>
      <c r="B201" s="1" t="s">
        <v>32</v>
      </c>
      <c r="C201" s="1" t="s">
        <v>22</v>
      </c>
      <c r="D201" s="1" t="s">
        <v>33</v>
      </c>
      <c r="E201" s="51" t="s">
        <v>107</v>
      </c>
      <c r="F201" s="51" t="s">
        <v>108</v>
      </c>
      <c r="G201" s="51" t="s">
        <v>109</v>
      </c>
      <c r="H201" s="51" t="s">
        <v>283</v>
      </c>
      <c r="I201" s="1" t="s">
        <v>128</v>
      </c>
      <c r="J201" s="51" t="s">
        <v>112</v>
      </c>
      <c r="K201" s="51" t="s">
        <v>112</v>
      </c>
      <c r="L201" s="51" t="s">
        <v>112</v>
      </c>
      <c r="M201" s="1">
        <v>1987720</v>
      </c>
      <c r="N201" s="50" t="s">
        <v>490</v>
      </c>
      <c r="O201" s="55">
        <f t="shared" si="137"/>
        <v>42138</v>
      </c>
      <c r="P201" s="55">
        <f t="shared" si="138"/>
        <v>42673</v>
      </c>
      <c r="Q201" s="51">
        <v>1200</v>
      </c>
      <c r="S201" s="51">
        <v>2.5</v>
      </c>
      <c r="U201" s="1">
        <f t="shared" si="107"/>
        <v>536</v>
      </c>
      <c r="V201" s="31">
        <f t="shared" si="108"/>
        <v>2.2388059701492535</v>
      </c>
      <c r="W201" s="31">
        <f t="shared" si="109"/>
        <v>817.16417910447751</v>
      </c>
      <c r="X201" s="31">
        <f t="shared" si="110"/>
        <v>1.021455223880597</v>
      </c>
      <c r="AA201" s="32">
        <f t="shared" si="111"/>
        <v>42552</v>
      </c>
      <c r="AB201" s="32">
        <f t="shared" si="112"/>
        <v>42735</v>
      </c>
      <c r="AC201" s="50">
        <v>21</v>
      </c>
      <c r="AD201" s="1">
        <f t="shared" si="113"/>
        <v>0</v>
      </c>
      <c r="AE201" s="1">
        <f t="shared" si="114"/>
        <v>0</v>
      </c>
      <c r="AF201" s="1">
        <f t="shared" si="115"/>
        <v>122</v>
      </c>
      <c r="AG201" s="1">
        <f t="shared" si="116"/>
        <v>0</v>
      </c>
      <c r="AH201" s="1">
        <f t="shared" si="117"/>
        <v>0</v>
      </c>
      <c r="AI201" s="23">
        <f t="shared" si="118"/>
        <v>0.66304347826086951</v>
      </c>
      <c r="AJ201" s="23">
        <f t="shared" si="119"/>
        <v>0.6772692245295262</v>
      </c>
      <c r="AK201" s="23">
        <f t="shared" si="120"/>
        <v>14.22265371512005</v>
      </c>
      <c r="AL201" s="23">
        <f t="shared" si="121"/>
        <v>35.556634287800122</v>
      </c>
      <c r="AM201" s="23">
        <f t="shared" si="122"/>
        <v>0</v>
      </c>
      <c r="AN201" s="23">
        <f t="shared" si="123"/>
        <v>35.556634287800122</v>
      </c>
      <c r="AQ201" s="32">
        <f t="shared" si="124"/>
        <v>42736</v>
      </c>
      <c r="AR201" s="32">
        <f t="shared" si="125"/>
        <v>42916</v>
      </c>
      <c r="AS201" s="50">
        <v>20</v>
      </c>
      <c r="AT201" s="1">
        <f t="shared" si="126"/>
        <v>0</v>
      </c>
      <c r="AU201" s="1">
        <f t="shared" si="127"/>
        <v>0</v>
      </c>
      <c r="AV201" s="1">
        <f t="shared" si="128"/>
        <v>0</v>
      </c>
      <c r="AW201" s="1">
        <f t="shared" si="129"/>
        <v>0</v>
      </c>
      <c r="AX201" s="1">
        <f t="shared" si="130"/>
        <v>90.5</v>
      </c>
      <c r="AY201" s="23">
        <f t="shared" si="131"/>
        <v>0.5</v>
      </c>
      <c r="AZ201" s="23">
        <f t="shared" si="132"/>
        <v>0.51072761194029848</v>
      </c>
      <c r="BA201" s="23">
        <f t="shared" si="133"/>
        <v>5.107276119402985</v>
      </c>
      <c r="BB201" s="23">
        <f t="shared" si="134"/>
        <v>12.768190298507463</v>
      </c>
      <c r="BC201" s="23">
        <f t="shared" si="135"/>
        <v>0</v>
      </c>
      <c r="BD201" s="23">
        <f t="shared" si="136"/>
        <v>12.768190298507463</v>
      </c>
    </row>
    <row r="202" spans="1:56">
      <c r="A202" s="1" t="s">
        <v>20</v>
      </c>
      <c r="B202" s="1" t="s">
        <v>32</v>
      </c>
      <c r="C202" s="1" t="s">
        <v>22</v>
      </c>
      <c r="D202" s="1" t="s">
        <v>33</v>
      </c>
      <c r="E202" s="51" t="s">
        <v>107</v>
      </c>
      <c r="F202" s="51" t="s">
        <v>108</v>
      </c>
      <c r="G202" s="51" t="s">
        <v>109</v>
      </c>
      <c r="H202" s="51" t="s">
        <v>110</v>
      </c>
      <c r="I202" s="1" t="s">
        <v>111</v>
      </c>
      <c r="J202" s="51" t="s">
        <v>112</v>
      </c>
      <c r="K202" s="51" t="s">
        <v>112</v>
      </c>
      <c r="L202" s="51" t="s">
        <v>112</v>
      </c>
      <c r="M202" s="1">
        <v>1987721</v>
      </c>
      <c r="N202" s="50" t="s">
        <v>491</v>
      </c>
      <c r="O202" s="55">
        <f t="shared" si="137"/>
        <v>42138</v>
      </c>
      <c r="P202" s="55">
        <f t="shared" si="138"/>
        <v>42673</v>
      </c>
      <c r="Q202" s="51">
        <v>1311</v>
      </c>
      <c r="S202" s="51">
        <v>2</v>
      </c>
      <c r="U202" s="1">
        <f t="shared" si="107"/>
        <v>536</v>
      </c>
      <c r="V202" s="31">
        <f t="shared" si="108"/>
        <v>2.4458955223880596</v>
      </c>
      <c r="W202" s="31">
        <f t="shared" si="109"/>
        <v>892.75186567164178</v>
      </c>
      <c r="X202" s="31">
        <f t="shared" si="110"/>
        <v>1.1159398320895522</v>
      </c>
      <c r="AA202" s="32">
        <f t="shared" si="111"/>
        <v>42552</v>
      </c>
      <c r="AB202" s="32">
        <f t="shared" si="112"/>
        <v>42735</v>
      </c>
      <c r="AC202" s="50">
        <v>13</v>
      </c>
      <c r="AD202" s="1">
        <f t="shared" si="113"/>
        <v>0</v>
      </c>
      <c r="AE202" s="1">
        <f t="shared" si="114"/>
        <v>0</v>
      </c>
      <c r="AF202" s="1">
        <f t="shared" si="115"/>
        <v>122</v>
      </c>
      <c r="AG202" s="1">
        <f t="shared" si="116"/>
        <v>0</v>
      </c>
      <c r="AH202" s="1">
        <f t="shared" si="117"/>
        <v>0</v>
      </c>
      <c r="AI202" s="23">
        <f t="shared" si="118"/>
        <v>0.66304347826086951</v>
      </c>
      <c r="AJ202" s="23">
        <f t="shared" si="119"/>
        <v>0.73991662779850731</v>
      </c>
      <c r="AK202" s="23">
        <f t="shared" si="120"/>
        <v>9.6189161613805947</v>
      </c>
      <c r="AL202" s="23">
        <f t="shared" si="121"/>
        <v>19.237832322761189</v>
      </c>
      <c r="AM202" s="23">
        <f t="shared" si="122"/>
        <v>0</v>
      </c>
      <c r="AN202" s="23">
        <f t="shared" si="123"/>
        <v>19.237832322761189</v>
      </c>
      <c r="AQ202" s="32">
        <f t="shared" si="124"/>
        <v>42736</v>
      </c>
      <c r="AR202" s="32">
        <f t="shared" si="125"/>
        <v>42916</v>
      </c>
      <c r="AS202" s="50">
        <v>13</v>
      </c>
      <c r="AT202" s="1">
        <f t="shared" si="126"/>
        <v>0</v>
      </c>
      <c r="AU202" s="1">
        <f t="shared" si="127"/>
        <v>0</v>
      </c>
      <c r="AV202" s="1">
        <f t="shared" si="128"/>
        <v>0</v>
      </c>
      <c r="AW202" s="1">
        <f t="shared" si="129"/>
        <v>0</v>
      </c>
      <c r="AX202" s="1">
        <f t="shared" si="130"/>
        <v>90.5</v>
      </c>
      <c r="AY202" s="23">
        <f t="shared" si="131"/>
        <v>0.5</v>
      </c>
      <c r="AZ202" s="23">
        <f t="shared" si="132"/>
        <v>0.55796991604477608</v>
      </c>
      <c r="BA202" s="23">
        <f t="shared" si="133"/>
        <v>3.6268044542910447</v>
      </c>
      <c r="BB202" s="23">
        <f t="shared" si="134"/>
        <v>7.2536089085820894</v>
      </c>
      <c r="BC202" s="23">
        <f t="shared" si="135"/>
        <v>0</v>
      </c>
      <c r="BD202" s="23">
        <f t="shared" si="136"/>
        <v>7.2536089085820894</v>
      </c>
    </row>
    <row r="203" spans="1:56">
      <c r="A203" s="1" t="s">
        <v>20</v>
      </c>
      <c r="B203" s="1" t="s">
        <v>32</v>
      </c>
      <c r="C203" s="1" t="s">
        <v>22</v>
      </c>
      <c r="D203" s="1" t="s">
        <v>33</v>
      </c>
      <c r="E203" s="51" t="s">
        <v>107</v>
      </c>
      <c r="F203" s="51" t="s">
        <v>108</v>
      </c>
      <c r="G203" s="51" t="s">
        <v>109</v>
      </c>
      <c r="H203" s="51" t="s">
        <v>124</v>
      </c>
      <c r="I203" s="1" t="s">
        <v>125</v>
      </c>
      <c r="J203" s="51" t="s">
        <v>112</v>
      </c>
      <c r="K203" s="51" t="s">
        <v>112</v>
      </c>
      <c r="L203" s="51" t="s">
        <v>112</v>
      </c>
      <c r="M203" s="1">
        <v>1987722</v>
      </c>
      <c r="N203" s="50" t="s">
        <v>492</v>
      </c>
      <c r="O203" s="55">
        <f t="shared" si="137"/>
        <v>42138</v>
      </c>
      <c r="P203" s="55">
        <f t="shared" si="138"/>
        <v>42673</v>
      </c>
      <c r="Q203" s="51">
        <v>1200</v>
      </c>
      <c r="S203" s="51">
        <v>2.5</v>
      </c>
      <c r="U203" s="1">
        <f t="shared" si="107"/>
        <v>536</v>
      </c>
      <c r="V203" s="31">
        <f t="shared" si="108"/>
        <v>2.2388059701492535</v>
      </c>
      <c r="W203" s="31">
        <f t="shared" si="109"/>
        <v>817.16417910447751</v>
      </c>
      <c r="X203" s="31">
        <f t="shared" si="110"/>
        <v>1.021455223880597</v>
      </c>
      <c r="AA203" s="32">
        <f t="shared" si="111"/>
        <v>42552</v>
      </c>
      <c r="AB203" s="32">
        <f t="shared" si="112"/>
        <v>42735</v>
      </c>
      <c r="AC203" s="50">
        <v>25</v>
      </c>
      <c r="AD203" s="1">
        <f t="shared" si="113"/>
        <v>0</v>
      </c>
      <c r="AE203" s="1">
        <f t="shared" si="114"/>
        <v>0</v>
      </c>
      <c r="AF203" s="1">
        <f t="shared" si="115"/>
        <v>122</v>
      </c>
      <c r="AG203" s="1">
        <f t="shared" si="116"/>
        <v>0</v>
      </c>
      <c r="AH203" s="1">
        <f t="shared" si="117"/>
        <v>0</v>
      </c>
      <c r="AI203" s="23">
        <f t="shared" si="118"/>
        <v>0.66304347826086951</v>
      </c>
      <c r="AJ203" s="23">
        <f t="shared" si="119"/>
        <v>0.6772692245295262</v>
      </c>
      <c r="AK203" s="23">
        <f t="shared" si="120"/>
        <v>16.931730613238155</v>
      </c>
      <c r="AL203" s="23">
        <f t="shared" si="121"/>
        <v>42.32932653309539</v>
      </c>
      <c r="AM203" s="23">
        <f t="shared" si="122"/>
        <v>0</v>
      </c>
      <c r="AN203" s="23">
        <f t="shared" si="123"/>
        <v>42.32932653309539</v>
      </c>
      <c r="AQ203" s="32">
        <f t="shared" si="124"/>
        <v>42736</v>
      </c>
      <c r="AR203" s="32">
        <f t="shared" si="125"/>
        <v>42916</v>
      </c>
      <c r="AS203" s="50">
        <v>18</v>
      </c>
      <c r="AT203" s="1">
        <f t="shared" si="126"/>
        <v>0</v>
      </c>
      <c r="AU203" s="1">
        <f t="shared" si="127"/>
        <v>0</v>
      </c>
      <c r="AV203" s="1">
        <f t="shared" si="128"/>
        <v>0</v>
      </c>
      <c r="AW203" s="1">
        <f t="shared" si="129"/>
        <v>0</v>
      </c>
      <c r="AX203" s="1">
        <f t="shared" si="130"/>
        <v>90.5</v>
      </c>
      <c r="AY203" s="23">
        <f t="shared" si="131"/>
        <v>0.5</v>
      </c>
      <c r="AZ203" s="23">
        <f t="shared" si="132"/>
        <v>0.51072761194029848</v>
      </c>
      <c r="BA203" s="23">
        <f t="shared" si="133"/>
        <v>4.5965485074626864</v>
      </c>
      <c r="BB203" s="23">
        <f t="shared" si="134"/>
        <v>11.491371268656716</v>
      </c>
      <c r="BC203" s="23">
        <f t="shared" si="135"/>
        <v>0</v>
      </c>
      <c r="BD203" s="23">
        <f t="shared" si="136"/>
        <v>11.491371268656716</v>
      </c>
    </row>
    <row r="204" spans="1:56">
      <c r="A204" s="1" t="s">
        <v>20</v>
      </c>
      <c r="B204" s="1" t="s">
        <v>32</v>
      </c>
      <c r="C204" s="1" t="s">
        <v>22</v>
      </c>
      <c r="D204" s="1" t="s">
        <v>33</v>
      </c>
      <c r="E204" s="51" t="s">
        <v>107</v>
      </c>
      <c r="F204" s="51" t="s">
        <v>108</v>
      </c>
      <c r="G204" s="51" t="s">
        <v>109</v>
      </c>
      <c r="H204" s="51" t="s">
        <v>281</v>
      </c>
      <c r="I204" s="1" t="s">
        <v>147</v>
      </c>
      <c r="J204" s="51" t="s">
        <v>112</v>
      </c>
      <c r="K204" s="51" t="s">
        <v>112</v>
      </c>
      <c r="L204" s="51" t="s">
        <v>112</v>
      </c>
      <c r="M204" s="1">
        <v>1987724</v>
      </c>
      <c r="N204" s="50" t="s">
        <v>493</v>
      </c>
      <c r="O204" s="55">
        <f t="shared" si="137"/>
        <v>42138</v>
      </c>
      <c r="P204" s="55">
        <f t="shared" si="138"/>
        <v>42673</v>
      </c>
      <c r="Q204" s="51">
        <v>1740</v>
      </c>
      <c r="S204" s="51">
        <v>2</v>
      </c>
      <c r="U204" s="1">
        <f t="shared" si="107"/>
        <v>536</v>
      </c>
      <c r="V204" s="31">
        <f t="shared" si="108"/>
        <v>3.2462686567164178</v>
      </c>
      <c r="W204" s="31">
        <f t="shared" si="109"/>
        <v>1184.8880597014925</v>
      </c>
      <c r="X204" s="31">
        <f t="shared" si="110"/>
        <v>1.4811100746268655</v>
      </c>
      <c r="AA204" s="32">
        <f t="shared" si="111"/>
        <v>42552</v>
      </c>
      <c r="AB204" s="32">
        <f t="shared" si="112"/>
        <v>42735</v>
      </c>
      <c r="AC204" s="50">
        <v>19</v>
      </c>
      <c r="AD204" s="1">
        <f t="shared" si="113"/>
        <v>0</v>
      </c>
      <c r="AE204" s="1">
        <f t="shared" si="114"/>
        <v>0</v>
      </c>
      <c r="AF204" s="1">
        <f t="shared" si="115"/>
        <v>122</v>
      </c>
      <c r="AG204" s="1">
        <f t="shared" si="116"/>
        <v>0</v>
      </c>
      <c r="AH204" s="1">
        <f t="shared" si="117"/>
        <v>0</v>
      </c>
      <c r="AI204" s="23">
        <f t="shared" si="118"/>
        <v>0.66304347826086951</v>
      </c>
      <c r="AJ204" s="23">
        <f t="shared" si="119"/>
        <v>0.98204037556781287</v>
      </c>
      <c r="AK204" s="23">
        <f t="shared" si="120"/>
        <v>18.658767135788445</v>
      </c>
      <c r="AL204" s="23">
        <f t="shared" si="121"/>
        <v>37.317534271576889</v>
      </c>
      <c r="AM204" s="23">
        <f t="shared" si="122"/>
        <v>0</v>
      </c>
      <c r="AN204" s="23">
        <f t="shared" si="123"/>
        <v>37.317534271576889</v>
      </c>
      <c r="AQ204" s="32">
        <f t="shared" si="124"/>
        <v>42736</v>
      </c>
      <c r="AR204" s="32">
        <f t="shared" si="125"/>
        <v>42916</v>
      </c>
      <c r="AS204" s="50">
        <v>18</v>
      </c>
      <c r="AT204" s="1">
        <f t="shared" si="126"/>
        <v>0</v>
      </c>
      <c r="AU204" s="1">
        <f t="shared" si="127"/>
        <v>0</v>
      </c>
      <c r="AV204" s="1">
        <f t="shared" si="128"/>
        <v>0</v>
      </c>
      <c r="AW204" s="1">
        <f t="shared" si="129"/>
        <v>0</v>
      </c>
      <c r="AX204" s="1">
        <f t="shared" si="130"/>
        <v>90.5</v>
      </c>
      <c r="AY204" s="23">
        <f t="shared" si="131"/>
        <v>0.5</v>
      </c>
      <c r="AZ204" s="23">
        <f t="shared" si="132"/>
        <v>0.74055503731343275</v>
      </c>
      <c r="BA204" s="23">
        <f t="shared" si="133"/>
        <v>6.6649953358208949</v>
      </c>
      <c r="BB204" s="23">
        <f t="shared" si="134"/>
        <v>13.32999067164179</v>
      </c>
      <c r="BC204" s="23">
        <f t="shared" si="135"/>
        <v>0</v>
      </c>
      <c r="BD204" s="23">
        <f t="shared" si="136"/>
        <v>13.32999067164179</v>
      </c>
    </row>
    <row r="205" spans="1:56">
      <c r="A205" s="1" t="s">
        <v>20</v>
      </c>
      <c r="B205" s="1" t="s">
        <v>32</v>
      </c>
      <c r="C205" s="1" t="s">
        <v>22</v>
      </c>
      <c r="D205" s="1" t="s">
        <v>33</v>
      </c>
      <c r="E205" s="51" t="s">
        <v>107</v>
      </c>
      <c r="F205" s="51" t="s">
        <v>108</v>
      </c>
      <c r="G205" s="51" t="s">
        <v>109</v>
      </c>
      <c r="H205" s="51" t="s">
        <v>213</v>
      </c>
      <c r="I205" s="1" t="s">
        <v>214</v>
      </c>
      <c r="J205" s="51" t="s">
        <v>112</v>
      </c>
      <c r="K205" s="51" t="s">
        <v>112</v>
      </c>
      <c r="L205" s="51" t="s">
        <v>112</v>
      </c>
      <c r="M205" s="1">
        <v>1987725</v>
      </c>
      <c r="N205" s="50" t="s">
        <v>494</v>
      </c>
      <c r="O205" s="55">
        <f t="shared" si="137"/>
        <v>42138</v>
      </c>
      <c r="P205" s="55">
        <f t="shared" si="138"/>
        <v>42673</v>
      </c>
      <c r="Q205" s="51">
        <v>950</v>
      </c>
      <c r="S205" s="51">
        <v>1.5</v>
      </c>
      <c r="U205" s="1">
        <f t="shared" si="107"/>
        <v>536</v>
      </c>
      <c r="V205" s="31">
        <f t="shared" si="108"/>
        <v>1.7723880597014925</v>
      </c>
      <c r="W205" s="31">
        <f t="shared" si="109"/>
        <v>646.92164179104475</v>
      </c>
      <c r="X205" s="31">
        <f t="shared" si="110"/>
        <v>0.80865205223880599</v>
      </c>
      <c r="AA205" s="32">
        <f t="shared" si="111"/>
        <v>42552</v>
      </c>
      <c r="AB205" s="32">
        <f t="shared" si="112"/>
        <v>42735</v>
      </c>
      <c r="AC205" s="50">
        <v>33</v>
      </c>
      <c r="AD205" s="1">
        <f t="shared" si="113"/>
        <v>0</v>
      </c>
      <c r="AE205" s="1">
        <f t="shared" si="114"/>
        <v>0</v>
      </c>
      <c r="AF205" s="1">
        <f t="shared" si="115"/>
        <v>122</v>
      </c>
      <c r="AG205" s="1">
        <f t="shared" si="116"/>
        <v>0</v>
      </c>
      <c r="AH205" s="1">
        <f t="shared" si="117"/>
        <v>0</v>
      </c>
      <c r="AI205" s="23">
        <f t="shared" si="118"/>
        <v>0.66304347826086951</v>
      </c>
      <c r="AJ205" s="23">
        <f t="shared" si="119"/>
        <v>0.53617146941920824</v>
      </c>
      <c r="AK205" s="23">
        <f t="shared" si="120"/>
        <v>17.693658490833872</v>
      </c>
      <c r="AL205" s="23">
        <f t="shared" si="121"/>
        <v>26.54048773625081</v>
      </c>
      <c r="AM205" s="23">
        <f t="shared" si="122"/>
        <v>0</v>
      </c>
      <c r="AN205" s="23">
        <f t="shared" si="123"/>
        <v>26.54048773625081</v>
      </c>
      <c r="AQ205" s="32">
        <f t="shared" si="124"/>
        <v>42736</v>
      </c>
      <c r="AR205" s="32">
        <f t="shared" si="125"/>
        <v>42916</v>
      </c>
      <c r="AS205" s="50">
        <v>33</v>
      </c>
      <c r="AT205" s="1">
        <f t="shared" si="126"/>
        <v>0</v>
      </c>
      <c r="AU205" s="1">
        <f t="shared" si="127"/>
        <v>0</v>
      </c>
      <c r="AV205" s="1">
        <f t="shared" si="128"/>
        <v>0</v>
      </c>
      <c r="AW205" s="1">
        <f t="shared" si="129"/>
        <v>0</v>
      </c>
      <c r="AX205" s="1">
        <f t="shared" si="130"/>
        <v>90.5</v>
      </c>
      <c r="AY205" s="23">
        <f t="shared" si="131"/>
        <v>0.5</v>
      </c>
      <c r="AZ205" s="23">
        <f t="shared" si="132"/>
        <v>0.40432602611940299</v>
      </c>
      <c r="BA205" s="23">
        <f t="shared" si="133"/>
        <v>6.6713794309701493</v>
      </c>
      <c r="BB205" s="23">
        <f t="shared" si="134"/>
        <v>10.007069146455224</v>
      </c>
      <c r="BC205" s="23">
        <f t="shared" si="135"/>
        <v>0</v>
      </c>
      <c r="BD205" s="23">
        <f t="shared" si="136"/>
        <v>10.007069146455224</v>
      </c>
    </row>
    <row r="206" spans="1:56">
      <c r="A206" s="1" t="s">
        <v>20</v>
      </c>
      <c r="B206" s="1" t="s">
        <v>32</v>
      </c>
      <c r="C206" s="1" t="s">
        <v>22</v>
      </c>
      <c r="D206" s="1" t="s">
        <v>33</v>
      </c>
      <c r="E206" s="51" t="s">
        <v>107</v>
      </c>
      <c r="F206" s="51" t="s">
        <v>108</v>
      </c>
      <c r="G206" s="51" t="s">
        <v>109</v>
      </c>
      <c r="H206" s="51" t="s">
        <v>351</v>
      </c>
      <c r="I206" s="1" t="s">
        <v>125</v>
      </c>
      <c r="J206" s="51" t="s">
        <v>112</v>
      </c>
      <c r="K206" s="51" t="s">
        <v>112</v>
      </c>
      <c r="L206" s="51" t="s">
        <v>112</v>
      </c>
      <c r="M206" s="1">
        <v>1987726</v>
      </c>
      <c r="N206" s="50" t="s">
        <v>495</v>
      </c>
      <c r="O206" s="55">
        <f t="shared" si="137"/>
        <v>42138</v>
      </c>
      <c r="P206" s="55">
        <f t="shared" si="138"/>
        <v>42673</v>
      </c>
      <c r="Q206" s="51">
        <v>1360</v>
      </c>
      <c r="S206" s="51">
        <v>2</v>
      </c>
      <c r="U206" s="1">
        <f t="shared" si="107"/>
        <v>536</v>
      </c>
      <c r="V206" s="31">
        <f t="shared" si="108"/>
        <v>2.5373134328358211</v>
      </c>
      <c r="W206" s="31">
        <f t="shared" si="109"/>
        <v>926.11940298507466</v>
      </c>
      <c r="X206" s="31">
        <f t="shared" si="110"/>
        <v>1.1576492537313434</v>
      </c>
      <c r="AA206" s="32">
        <f t="shared" si="111"/>
        <v>42552</v>
      </c>
      <c r="AB206" s="32">
        <f t="shared" si="112"/>
        <v>42735</v>
      </c>
      <c r="AC206" s="50">
        <v>20</v>
      </c>
      <c r="AD206" s="1">
        <f t="shared" si="113"/>
        <v>0</v>
      </c>
      <c r="AE206" s="1">
        <f t="shared" si="114"/>
        <v>0</v>
      </c>
      <c r="AF206" s="1">
        <f t="shared" si="115"/>
        <v>122</v>
      </c>
      <c r="AG206" s="1">
        <f t="shared" si="116"/>
        <v>0</v>
      </c>
      <c r="AH206" s="1">
        <f t="shared" si="117"/>
        <v>0</v>
      </c>
      <c r="AI206" s="23">
        <f t="shared" si="118"/>
        <v>0.66304347826086951</v>
      </c>
      <c r="AJ206" s="23">
        <f t="shared" si="119"/>
        <v>0.7675717878001298</v>
      </c>
      <c r="AK206" s="23">
        <f t="shared" si="120"/>
        <v>15.351435756002596</v>
      </c>
      <c r="AL206" s="23">
        <f t="shared" si="121"/>
        <v>30.702871512005192</v>
      </c>
      <c r="AM206" s="23">
        <f t="shared" si="122"/>
        <v>0</v>
      </c>
      <c r="AN206" s="23">
        <f t="shared" si="123"/>
        <v>30.702871512005192</v>
      </c>
      <c r="AQ206" s="32">
        <f t="shared" si="124"/>
        <v>42736</v>
      </c>
      <c r="AR206" s="32">
        <f t="shared" si="125"/>
        <v>42916</v>
      </c>
      <c r="AS206" s="50">
        <v>20</v>
      </c>
      <c r="AT206" s="1">
        <f t="shared" si="126"/>
        <v>0</v>
      </c>
      <c r="AU206" s="1">
        <f t="shared" si="127"/>
        <v>0</v>
      </c>
      <c r="AV206" s="1">
        <f t="shared" si="128"/>
        <v>0</v>
      </c>
      <c r="AW206" s="1">
        <f t="shared" si="129"/>
        <v>0</v>
      </c>
      <c r="AX206" s="1">
        <f t="shared" si="130"/>
        <v>90.5</v>
      </c>
      <c r="AY206" s="23">
        <f t="shared" si="131"/>
        <v>0.5</v>
      </c>
      <c r="AZ206" s="23">
        <f t="shared" si="132"/>
        <v>0.57882462686567171</v>
      </c>
      <c r="BA206" s="23">
        <f t="shared" si="133"/>
        <v>5.7882462686567173</v>
      </c>
      <c r="BB206" s="23">
        <f t="shared" si="134"/>
        <v>11.576492537313435</v>
      </c>
      <c r="BC206" s="23">
        <f t="shared" si="135"/>
        <v>0</v>
      </c>
      <c r="BD206" s="23">
        <f t="shared" si="136"/>
        <v>11.576492537313435</v>
      </c>
    </row>
    <row r="207" spans="1:56">
      <c r="A207" s="1" t="s">
        <v>20</v>
      </c>
      <c r="B207" s="1" t="s">
        <v>32</v>
      </c>
      <c r="C207" s="1" t="s">
        <v>22</v>
      </c>
      <c r="D207" s="1" t="s">
        <v>33</v>
      </c>
      <c r="E207" s="51" t="s">
        <v>107</v>
      </c>
      <c r="F207" s="51" t="s">
        <v>108</v>
      </c>
      <c r="G207" s="51" t="s">
        <v>109</v>
      </c>
      <c r="H207" s="51" t="s">
        <v>146</v>
      </c>
      <c r="I207" s="1" t="s">
        <v>147</v>
      </c>
      <c r="J207" s="51" t="s">
        <v>148</v>
      </c>
      <c r="K207" s="51" t="s">
        <v>112</v>
      </c>
      <c r="L207" s="51" t="s">
        <v>112</v>
      </c>
      <c r="M207" s="1">
        <v>1987727</v>
      </c>
      <c r="N207" s="50" t="s">
        <v>496</v>
      </c>
      <c r="O207" s="55">
        <f t="shared" si="137"/>
        <v>42138</v>
      </c>
      <c r="P207" s="55">
        <f t="shared" si="138"/>
        <v>42673</v>
      </c>
      <c r="Q207" s="51">
        <v>1240</v>
      </c>
      <c r="S207" s="51">
        <v>2.5</v>
      </c>
      <c r="U207" s="1">
        <f t="shared" si="107"/>
        <v>536</v>
      </c>
      <c r="V207" s="31">
        <f t="shared" si="108"/>
        <v>2.3134328358208953</v>
      </c>
      <c r="W207" s="31">
        <f t="shared" si="109"/>
        <v>844.40298507462683</v>
      </c>
      <c r="X207" s="31">
        <f t="shared" si="110"/>
        <v>1.0555037313432836</v>
      </c>
      <c r="AA207" s="32">
        <f t="shared" si="111"/>
        <v>42552</v>
      </c>
      <c r="AB207" s="32">
        <f t="shared" si="112"/>
        <v>42735</v>
      </c>
      <c r="AC207" s="50">
        <v>22</v>
      </c>
      <c r="AD207" s="1">
        <f t="shared" si="113"/>
        <v>0</v>
      </c>
      <c r="AE207" s="1">
        <f t="shared" si="114"/>
        <v>0</v>
      </c>
      <c r="AF207" s="1">
        <f t="shared" si="115"/>
        <v>122</v>
      </c>
      <c r="AG207" s="1">
        <f t="shared" si="116"/>
        <v>0</v>
      </c>
      <c r="AH207" s="1">
        <f t="shared" si="117"/>
        <v>0</v>
      </c>
      <c r="AI207" s="23">
        <f t="shared" si="118"/>
        <v>0.66304347826086951</v>
      </c>
      <c r="AJ207" s="23">
        <f t="shared" si="119"/>
        <v>0.69984486534717705</v>
      </c>
      <c r="AK207" s="23">
        <f t="shared" si="120"/>
        <v>15.396587037637895</v>
      </c>
      <c r="AL207" s="23">
        <f t="shared" si="121"/>
        <v>38.491467594094736</v>
      </c>
      <c r="AM207" s="23">
        <f t="shared" si="122"/>
        <v>19.245733797047368</v>
      </c>
      <c r="AN207" s="23">
        <f t="shared" si="123"/>
        <v>57.737201391142108</v>
      </c>
      <c r="AQ207" s="32">
        <f t="shared" si="124"/>
        <v>42736</v>
      </c>
      <c r="AR207" s="32">
        <f t="shared" si="125"/>
        <v>42916</v>
      </c>
      <c r="AS207" s="50">
        <v>21</v>
      </c>
      <c r="AT207" s="1">
        <f t="shared" si="126"/>
        <v>0</v>
      </c>
      <c r="AU207" s="1">
        <f t="shared" si="127"/>
        <v>0</v>
      </c>
      <c r="AV207" s="1">
        <f t="shared" si="128"/>
        <v>0</v>
      </c>
      <c r="AW207" s="1">
        <f t="shared" si="129"/>
        <v>0</v>
      </c>
      <c r="AX207" s="1">
        <f t="shared" si="130"/>
        <v>90.5</v>
      </c>
      <c r="AY207" s="23">
        <f t="shared" si="131"/>
        <v>0.5</v>
      </c>
      <c r="AZ207" s="23">
        <f t="shared" si="132"/>
        <v>0.52775186567164178</v>
      </c>
      <c r="BA207" s="23">
        <f t="shared" si="133"/>
        <v>5.5413945895522385</v>
      </c>
      <c r="BB207" s="23">
        <f t="shared" si="134"/>
        <v>13.853486473880597</v>
      </c>
      <c r="BC207" s="23">
        <f t="shared" si="135"/>
        <v>6.9267432369402986</v>
      </c>
      <c r="BD207" s="23">
        <f t="shared" si="136"/>
        <v>20.780229710820898</v>
      </c>
    </row>
    <row r="208" spans="1:56">
      <c r="A208" s="1" t="s">
        <v>20</v>
      </c>
      <c r="B208" s="1" t="s">
        <v>32</v>
      </c>
      <c r="C208" s="1" t="s">
        <v>22</v>
      </c>
      <c r="D208" s="1" t="s">
        <v>33</v>
      </c>
      <c r="E208" s="51" t="s">
        <v>107</v>
      </c>
      <c r="F208" s="51" t="s">
        <v>108</v>
      </c>
      <c r="G208" s="51" t="s">
        <v>109</v>
      </c>
      <c r="H208" s="51" t="s">
        <v>161</v>
      </c>
      <c r="I208" s="1" t="s">
        <v>131</v>
      </c>
      <c r="J208" s="51" t="s">
        <v>112</v>
      </c>
      <c r="K208" s="51" t="s">
        <v>112</v>
      </c>
      <c r="L208" s="51" t="s">
        <v>112</v>
      </c>
      <c r="M208" s="1">
        <v>1987729</v>
      </c>
      <c r="N208" s="50" t="s">
        <v>497</v>
      </c>
      <c r="O208" s="55">
        <f t="shared" si="137"/>
        <v>42138</v>
      </c>
      <c r="P208" s="55">
        <f t="shared" si="138"/>
        <v>42673</v>
      </c>
      <c r="Q208" s="51">
        <v>1540</v>
      </c>
      <c r="S208" s="51">
        <v>2.5</v>
      </c>
      <c r="U208" s="1">
        <f t="shared" si="107"/>
        <v>536</v>
      </c>
      <c r="V208" s="31">
        <f t="shared" si="108"/>
        <v>2.8731343283582089</v>
      </c>
      <c r="W208" s="31">
        <f t="shared" si="109"/>
        <v>1048.6940298507463</v>
      </c>
      <c r="X208" s="31">
        <f t="shared" si="110"/>
        <v>1.3108675373134329</v>
      </c>
      <c r="AA208" s="32">
        <f t="shared" si="111"/>
        <v>42552</v>
      </c>
      <c r="AB208" s="32">
        <f t="shared" si="112"/>
        <v>42735</v>
      </c>
      <c r="AC208" s="50">
        <v>16</v>
      </c>
      <c r="AD208" s="1">
        <f t="shared" si="113"/>
        <v>0</v>
      </c>
      <c r="AE208" s="1">
        <f t="shared" si="114"/>
        <v>0</v>
      </c>
      <c r="AF208" s="1">
        <f t="shared" si="115"/>
        <v>122</v>
      </c>
      <c r="AG208" s="1">
        <f t="shared" si="116"/>
        <v>0</v>
      </c>
      <c r="AH208" s="1">
        <f t="shared" si="117"/>
        <v>0</v>
      </c>
      <c r="AI208" s="23">
        <f t="shared" si="118"/>
        <v>0.66304347826086951</v>
      </c>
      <c r="AJ208" s="23">
        <f t="shared" si="119"/>
        <v>0.86916217147955865</v>
      </c>
      <c r="AK208" s="23">
        <f t="shared" si="120"/>
        <v>13.906594743672938</v>
      </c>
      <c r="AL208" s="23">
        <f t="shared" si="121"/>
        <v>34.766486859182343</v>
      </c>
      <c r="AM208" s="23">
        <f t="shared" si="122"/>
        <v>0</v>
      </c>
      <c r="AN208" s="23">
        <f t="shared" si="123"/>
        <v>34.766486859182343</v>
      </c>
      <c r="AQ208" s="32">
        <f t="shared" si="124"/>
        <v>42736</v>
      </c>
      <c r="AR208" s="32">
        <f t="shared" si="125"/>
        <v>42916</v>
      </c>
      <c r="AS208" s="50">
        <v>16</v>
      </c>
      <c r="AT208" s="1">
        <f t="shared" si="126"/>
        <v>0</v>
      </c>
      <c r="AU208" s="1">
        <f t="shared" si="127"/>
        <v>0</v>
      </c>
      <c r="AV208" s="1">
        <f t="shared" si="128"/>
        <v>0</v>
      </c>
      <c r="AW208" s="1">
        <f t="shared" si="129"/>
        <v>0</v>
      </c>
      <c r="AX208" s="1">
        <f t="shared" si="130"/>
        <v>90.5</v>
      </c>
      <c r="AY208" s="23">
        <f t="shared" si="131"/>
        <v>0.5</v>
      </c>
      <c r="AZ208" s="23">
        <f t="shared" si="132"/>
        <v>0.65543376865671643</v>
      </c>
      <c r="BA208" s="23">
        <f t="shared" si="133"/>
        <v>5.2434701492537314</v>
      </c>
      <c r="BB208" s="23">
        <f t="shared" si="134"/>
        <v>13.108675373134329</v>
      </c>
      <c r="BC208" s="23">
        <f t="shared" si="135"/>
        <v>0</v>
      </c>
      <c r="BD208" s="23">
        <f t="shared" si="136"/>
        <v>13.108675373134329</v>
      </c>
    </row>
    <row r="209" spans="1:56">
      <c r="A209" s="1" t="s">
        <v>20</v>
      </c>
      <c r="B209" s="1" t="s">
        <v>32</v>
      </c>
      <c r="C209" s="1" t="s">
        <v>22</v>
      </c>
      <c r="D209" s="1" t="s">
        <v>33</v>
      </c>
      <c r="E209" s="51" t="s">
        <v>107</v>
      </c>
      <c r="F209" s="51" t="s">
        <v>108</v>
      </c>
      <c r="G209" s="51" t="s">
        <v>109</v>
      </c>
      <c r="H209" s="51" t="s">
        <v>277</v>
      </c>
      <c r="I209" s="1" t="s">
        <v>278</v>
      </c>
      <c r="J209" s="51" t="s">
        <v>112</v>
      </c>
      <c r="K209" s="51" t="s">
        <v>112</v>
      </c>
      <c r="L209" s="51" t="s">
        <v>112</v>
      </c>
      <c r="M209" s="1">
        <v>1987731</v>
      </c>
      <c r="N209" s="50" t="s">
        <v>498</v>
      </c>
      <c r="O209" s="55">
        <f t="shared" si="137"/>
        <v>42138</v>
      </c>
      <c r="P209" s="55">
        <f t="shared" si="138"/>
        <v>42673</v>
      </c>
      <c r="Q209" s="51">
        <v>1000</v>
      </c>
      <c r="S209" s="51">
        <v>1.5</v>
      </c>
      <c r="U209" s="1">
        <f t="shared" si="107"/>
        <v>536</v>
      </c>
      <c r="V209" s="31">
        <f t="shared" si="108"/>
        <v>1.8656716417910448</v>
      </c>
      <c r="W209" s="31">
        <f t="shared" si="109"/>
        <v>680.97014925373139</v>
      </c>
      <c r="X209" s="31">
        <f t="shared" si="110"/>
        <v>0.8512126865671642</v>
      </c>
      <c r="AA209" s="32">
        <f t="shared" si="111"/>
        <v>42552</v>
      </c>
      <c r="AB209" s="32">
        <f t="shared" si="112"/>
        <v>42735</v>
      </c>
      <c r="AC209" s="50">
        <v>21</v>
      </c>
      <c r="AD209" s="1">
        <f t="shared" si="113"/>
        <v>0</v>
      </c>
      <c r="AE209" s="1">
        <f t="shared" si="114"/>
        <v>0</v>
      </c>
      <c r="AF209" s="1">
        <f t="shared" si="115"/>
        <v>122</v>
      </c>
      <c r="AG209" s="1">
        <f t="shared" si="116"/>
        <v>0</v>
      </c>
      <c r="AH209" s="1">
        <f t="shared" si="117"/>
        <v>0</v>
      </c>
      <c r="AI209" s="23">
        <f t="shared" si="118"/>
        <v>0.66304347826086951</v>
      </c>
      <c r="AJ209" s="23">
        <f t="shared" si="119"/>
        <v>0.56439102044127187</v>
      </c>
      <c r="AK209" s="23">
        <f t="shared" si="120"/>
        <v>11.85221142926671</v>
      </c>
      <c r="AL209" s="23">
        <f t="shared" si="121"/>
        <v>17.778317143900065</v>
      </c>
      <c r="AM209" s="23">
        <f t="shared" si="122"/>
        <v>0</v>
      </c>
      <c r="AN209" s="23">
        <f t="shared" si="123"/>
        <v>17.778317143900065</v>
      </c>
      <c r="AQ209" s="32">
        <f t="shared" si="124"/>
        <v>42736</v>
      </c>
      <c r="AR209" s="32">
        <f t="shared" si="125"/>
        <v>42916</v>
      </c>
      <c r="AS209" s="50">
        <v>21</v>
      </c>
      <c r="AT209" s="1">
        <f t="shared" si="126"/>
        <v>0</v>
      </c>
      <c r="AU209" s="1">
        <f t="shared" si="127"/>
        <v>0</v>
      </c>
      <c r="AV209" s="1">
        <f t="shared" si="128"/>
        <v>0</v>
      </c>
      <c r="AW209" s="1">
        <f t="shared" si="129"/>
        <v>0</v>
      </c>
      <c r="AX209" s="1">
        <f t="shared" si="130"/>
        <v>90.5</v>
      </c>
      <c r="AY209" s="23">
        <f t="shared" si="131"/>
        <v>0.5</v>
      </c>
      <c r="AZ209" s="23">
        <f t="shared" si="132"/>
        <v>0.4256063432835821</v>
      </c>
      <c r="BA209" s="23">
        <f t="shared" si="133"/>
        <v>4.4688666044776122</v>
      </c>
      <c r="BB209" s="23">
        <f t="shared" si="134"/>
        <v>6.7032999067164187</v>
      </c>
      <c r="BC209" s="23">
        <f t="shared" si="135"/>
        <v>0</v>
      </c>
      <c r="BD209" s="23">
        <f t="shared" si="136"/>
        <v>6.7032999067164187</v>
      </c>
    </row>
    <row r="210" spans="1:56">
      <c r="A210" s="1" t="s">
        <v>20</v>
      </c>
      <c r="B210" s="1" t="s">
        <v>32</v>
      </c>
      <c r="C210" s="1" t="s">
        <v>22</v>
      </c>
      <c r="D210" s="1" t="s">
        <v>33</v>
      </c>
      <c r="E210" s="51" t="s">
        <v>107</v>
      </c>
      <c r="F210" s="51" t="s">
        <v>108</v>
      </c>
      <c r="G210" s="51" t="s">
        <v>109</v>
      </c>
      <c r="H210" s="51" t="s">
        <v>179</v>
      </c>
      <c r="I210" s="1" t="s">
        <v>125</v>
      </c>
      <c r="J210" s="51" t="s">
        <v>112</v>
      </c>
      <c r="K210" s="51" t="s">
        <v>112</v>
      </c>
      <c r="L210" s="51" t="s">
        <v>112</v>
      </c>
      <c r="M210" s="1">
        <v>1987732</v>
      </c>
      <c r="N210" s="50" t="s">
        <v>499</v>
      </c>
      <c r="O210" s="55">
        <f t="shared" si="137"/>
        <v>42138</v>
      </c>
      <c r="P210" s="55">
        <f t="shared" si="138"/>
        <v>42673</v>
      </c>
      <c r="Q210" s="51">
        <v>1480</v>
      </c>
      <c r="S210" s="51">
        <v>2</v>
      </c>
      <c r="U210" s="1">
        <f t="shared" si="107"/>
        <v>536</v>
      </c>
      <c r="V210" s="31">
        <f t="shared" si="108"/>
        <v>2.7611940298507465</v>
      </c>
      <c r="W210" s="31">
        <f t="shared" si="109"/>
        <v>1007.8358208955225</v>
      </c>
      <c r="X210" s="31">
        <f t="shared" si="110"/>
        <v>1.259794776119403</v>
      </c>
      <c r="AA210" s="32">
        <f t="shared" si="111"/>
        <v>42552</v>
      </c>
      <c r="AB210" s="32">
        <f t="shared" si="112"/>
        <v>42735</v>
      </c>
      <c r="AC210" s="50">
        <v>18</v>
      </c>
      <c r="AD210" s="1">
        <f t="shared" si="113"/>
        <v>0</v>
      </c>
      <c r="AE210" s="1">
        <f t="shared" si="114"/>
        <v>0</v>
      </c>
      <c r="AF210" s="1">
        <f t="shared" si="115"/>
        <v>122</v>
      </c>
      <c r="AG210" s="1">
        <f t="shared" si="116"/>
        <v>0</v>
      </c>
      <c r="AH210" s="1">
        <f t="shared" si="117"/>
        <v>0</v>
      </c>
      <c r="AI210" s="23">
        <f t="shared" si="118"/>
        <v>0.66304347826086951</v>
      </c>
      <c r="AJ210" s="23">
        <f t="shared" si="119"/>
        <v>0.83529871025308244</v>
      </c>
      <c r="AK210" s="23">
        <f t="shared" si="120"/>
        <v>15.035376784555485</v>
      </c>
      <c r="AL210" s="23">
        <f t="shared" si="121"/>
        <v>30.07075356911097</v>
      </c>
      <c r="AM210" s="23">
        <f t="shared" si="122"/>
        <v>0</v>
      </c>
      <c r="AN210" s="23">
        <f t="shared" si="123"/>
        <v>30.07075356911097</v>
      </c>
      <c r="AQ210" s="32">
        <f t="shared" si="124"/>
        <v>42736</v>
      </c>
      <c r="AR210" s="32">
        <f t="shared" si="125"/>
        <v>42916</v>
      </c>
      <c r="AS210" s="50">
        <v>17</v>
      </c>
      <c r="AT210" s="1">
        <f t="shared" si="126"/>
        <v>0</v>
      </c>
      <c r="AU210" s="1">
        <f t="shared" si="127"/>
        <v>0</v>
      </c>
      <c r="AV210" s="1">
        <f t="shared" si="128"/>
        <v>0</v>
      </c>
      <c r="AW210" s="1">
        <f t="shared" si="129"/>
        <v>0</v>
      </c>
      <c r="AX210" s="1">
        <f t="shared" si="130"/>
        <v>90.5</v>
      </c>
      <c r="AY210" s="23">
        <f t="shared" si="131"/>
        <v>0.5</v>
      </c>
      <c r="AZ210" s="23">
        <f t="shared" si="132"/>
        <v>0.62989738805970152</v>
      </c>
      <c r="BA210" s="23">
        <f t="shared" si="133"/>
        <v>5.3541277985074629</v>
      </c>
      <c r="BB210" s="23">
        <f t="shared" si="134"/>
        <v>10.708255597014926</v>
      </c>
      <c r="BC210" s="23">
        <f t="shared" si="135"/>
        <v>0</v>
      </c>
      <c r="BD210" s="23">
        <f t="shared" si="136"/>
        <v>10.708255597014926</v>
      </c>
    </row>
    <row r="211" spans="1:56">
      <c r="A211" s="1" t="s">
        <v>20</v>
      </c>
      <c r="B211" s="1" t="s">
        <v>32</v>
      </c>
      <c r="C211" s="1" t="s">
        <v>22</v>
      </c>
      <c r="D211" s="1" t="s">
        <v>33</v>
      </c>
      <c r="E211" s="51" t="s">
        <v>107</v>
      </c>
      <c r="F211" s="51" t="s">
        <v>108</v>
      </c>
      <c r="G211" s="51" t="s">
        <v>109</v>
      </c>
      <c r="H211" s="51" t="s">
        <v>429</v>
      </c>
      <c r="I211" s="1" t="s">
        <v>131</v>
      </c>
      <c r="J211" s="51" t="s">
        <v>112</v>
      </c>
      <c r="K211" s="51" t="s">
        <v>112</v>
      </c>
      <c r="L211" s="51" t="s">
        <v>112</v>
      </c>
      <c r="M211" s="1">
        <v>1987733</v>
      </c>
      <c r="N211" s="50" t="s">
        <v>500</v>
      </c>
      <c r="O211" s="55">
        <f t="shared" si="137"/>
        <v>42138</v>
      </c>
      <c r="P211" s="55">
        <f t="shared" si="138"/>
        <v>42673</v>
      </c>
      <c r="Q211" s="51">
        <v>1480</v>
      </c>
      <c r="S211" s="51">
        <v>1</v>
      </c>
      <c r="U211" s="1">
        <f t="shared" si="107"/>
        <v>536</v>
      </c>
      <c r="V211" s="31">
        <f t="shared" si="108"/>
        <v>2.7611940298507465</v>
      </c>
      <c r="W211" s="31">
        <f t="shared" si="109"/>
        <v>1007.8358208955225</v>
      </c>
      <c r="X211" s="31">
        <f t="shared" si="110"/>
        <v>1.259794776119403</v>
      </c>
      <c r="AA211" s="32">
        <f t="shared" si="111"/>
        <v>42552</v>
      </c>
      <c r="AB211" s="32">
        <f t="shared" si="112"/>
        <v>42735</v>
      </c>
      <c r="AC211" s="50">
        <v>10</v>
      </c>
      <c r="AD211" s="1">
        <f t="shared" si="113"/>
        <v>0</v>
      </c>
      <c r="AE211" s="1">
        <f t="shared" si="114"/>
        <v>0</v>
      </c>
      <c r="AF211" s="1">
        <f t="shared" si="115"/>
        <v>122</v>
      </c>
      <c r="AG211" s="1">
        <f t="shared" si="116"/>
        <v>0</v>
      </c>
      <c r="AH211" s="1">
        <f t="shared" si="117"/>
        <v>0</v>
      </c>
      <c r="AI211" s="23">
        <f t="shared" si="118"/>
        <v>0.66304347826086951</v>
      </c>
      <c r="AJ211" s="23">
        <f t="shared" si="119"/>
        <v>0.83529871025308244</v>
      </c>
      <c r="AK211" s="23">
        <f t="shared" si="120"/>
        <v>8.3529871025308253</v>
      </c>
      <c r="AL211" s="23">
        <f t="shared" si="121"/>
        <v>8.3529871025308253</v>
      </c>
      <c r="AM211" s="23">
        <f t="shared" si="122"/>
        <v>0</v>
      </c>
      <c r="AN211" s="23">
        <f t="shared" si="123"/>
        <v>8.3529871025308253</v>
      </c>
      <c r="AQ211" s="32">
        <f t="shared" si="124"/>
        <v>42736</v>
      </c>
      <c r="AR211" s="32">
        <f t="shared" si="125"/>
        <v>42916</v>
      </c>
      <c r="AS211" s="50">
        <v>10</v>
      </c>
      <c r="AT211" s="1">
        <f t="shared" si="126"/>
        <v>0</v>
      </c>
      <c r="AU211" s="1">
        <f t="shared" si="127"/>
        <v>0</v>
      </c>
      <c r="AV211" s="1">
        <f t="shared" si="128"/>
        <v>0</v>
      </c>
      <c r="AW211" s="1">
        <f t="shared" si="129"/>
        <v>0</v>
      </c>
      <c r="AX211" s="1">
        <f t="shared" si="130"/>
        <v>90.5</v>
      </c>
      <c r="AY211" s="23">
        <f t="shared" si="131"/>
        <v>0.5</v>
      </c>
      <c r="AZ211" s="23">
        <f t="shared" si="132"/>
        <v>0.62989738805970152</v>
      </c>
      <c r="BA211" s="23">
        <f t="shared" si="133"/>
        <v>3.1494869402985075</v>
      </c>
      <c r="BB211" s="23">
        <f t="shared" si="134"/>
        <v>3.1494869402985075</v>
      </c>
      <c r="BC211" s="23">
        <f t="shared" si="135"/>
        <v>0</v>
      </c>
      <c r="BD211" s="23">
        <f t="shared" si="136"/>
        <v>3.1494869402985075</v>
      </c>
    </row>
    <row r="212" spans="1:56">
      <c r="A212" s="1" t="s">
        <v>20</v>
      </c>
      <c r="B212" s="1" t="s">
        <v>32</v>
      </c>
      <c r="C212" s="1" t="s">
        <v>22</v>
      </c>
      <c r="D212" s="1" t="s">
        <v>33</v>
      </c>
      <c r="E212" s="51" t="s">
        <v>107</v>
      </c>
      <c r="F212" s="51" t="s">
        <v>108</v>
      </c>
      <c r="G212" s="51" t="s">
        <v>109</v>
      </c>
      <c r="H212" s="51" t="s">
        <v>273</v>
      </c>
      <c r="I212" s="1" t="s">
        <v>128</v>
      </c>
      <c r="J212" s="51" t="s">
        <v>112</v>
      </c>
      <c r="K212" s="51" t="s">
        <v>112</v>
      </c>
      <c r="L212" s="51" t="s">
        <v>112</v>
      </c>
      <c r="M212" s="1">
        <v>1987734</v>
      </c>
      <c r="N212" s="50" t="s">
        <v>501</v>
      </c>
      <c r="O212" s="55">
        <f t="shared" si="137"/>
        <v>42138</v>
      </c>
      <c r="P212" s="55">
        <f t="shared" si="138"/>
        <v>42673</v>
      </c>
      <c r="Q212" s="51">
        <v>1200</v>
      </c>
      <c r="S212" s="51">
        <v>2.5</v>
      </c>
      <c r="U212" s="1">
        <f t="shared" si="107"/>
        <v>536</v>
      </c>
      <c r="V212" s="31">
        <f t="shared" si="108"/>
        <v>2.2388059701492535</v>
      </c>
      <c r="W212" s="31">
        <f t="shared" si="109"/>
        <v>817.16417910447751</v>
      </c>
      <c r="X212" s="31">
        <f t="shared" si="110"/>
        <v>1.021455223880597</v>
      </c>
      <c r="AA212" s="32">
        <f t="shared" si="111"/>
        <v>42552</v>
      </c>
      <c r="AB212" s="32">
        <f t="shared" si="112"/>
        <v>42735</v>
      </c>
      <c r="AC212" s="50">
        <v>26</v>
      </c>
      <c r="AD212" s="1">
        <f t="shared" si="113"/>
        <v>0</v>
      </c>
      <c r="AE212" s="1">
        <f t="shared" si="114"/>
        <v>0</v>
      </c>
      <c r="AF212" s="1">
        <f t="shared" si="115"/>
        <v>122</v>
      </c>
      <c r="AG212" s="1">
        <f t="shared" si="116"/>
        <v>0</v>
      </c>
      <c r="AH212" s="1">
        <f t="shared" si="117"/>
        <v>0</v>
      </c>
      <c r="AI212" s="23">
        <f t="shared" si="118"/>
        <v>0.66304347826086951</v>
      </c>
      <c r="AJ212" s="23">
        <f t="shared" si="119"/>
        <v>0.6772692245295262</v>
      </c>
      <c r="AK212" s="23">
        <f t="shared" si="120"/>
        <v>17.60899983776768</v>
      </c>
      <c r="AL212" s="23">
        <f t="shared" si="121"/>
        <v>44.022499594419202</v>
      </c>
      <c r="AM212" s="23">
        <f t="shared" si="122"/>
        <v>0</v>
      </c>
      <c r="AN212" s="23">
        <f t="shared" si="123"/>
        <v>44.022499594419202</v>
      </c>
      <c r="AQ212" s="32">
        <f t="shared" si="124"/>
        <v>42736</v>
      </c>
      <c r="AR212" s="32">
        <f t="shared" si="125"/>
        <v>42916</v>
      </c>
      <c r="AS212" s="50">
        <v>26</v>
      </c>
      <c r="AT212" s="1">
        <f t="shared" si="126"/>
        <v>0</v>
      </c>
      <c r="AU212" s="1">
        <f t="shared" si="127"/>
        <v>0</v>
      </c>
      <c r="AV212" s="1">
        <f t="shared" si="128"/>
        <v>0</v>
      </c>
      <c r="AW212" s="1">
        <f t="shared" si="129"/>
        <v>0</v>
      </c>
      <c r="AX212" s="1">
        <f t="shared" si="130"/>
        <v>90.5</v>
      </c>
      <c r="AY212" s="23">
        <f t="shared" si="131"/>
        <v>0.5</v>
      </c>
      <c r="AZ212" s="23">
        <f t="shared" si="132"/>
        <v>0.51072761194029848</v>
      </c>
      <c r="BA212" s="23">
        <f t="shared" si="133"/>
        <v>6.6394589552238799</v>
      </c>
      <c r="BB212" s="23">
        <f t="shared" si="134"/>
        <v>16.5986473880597</v>
      </c>
      <c r="BC212" s="23">
        <f t="shared" si="135"/>
        <v>0</v>
      </c>
      <c r="BD212" s="23">
        <f t="shared" si="136"/>
        <v>16.5986473880597</v>
      </c>
    </row>
    <row r="213" spans="1:56">
      <c r="A213" s="1" t="s">
        <v>20</v>
      </c>
      <c r="B213" s="1" t="s">
        <v>32</v>
      </c>
      <c r="C213" s="1" t="s">
        <v>22</v>
      </c>
      <c r="D213" s="1" t="s">
        <v>33</v>
      </c>
      <c r="E213" s="51" t="s">
        <v>107</v>
      </c>
      <c r="F213" s="51" t="s">
        <v>108</v>
      </c>
      <c r="G213" s="51" t="s">
        <v>109</v>
      </c>
      <c r="H213" s="51" t="s">
        <v>156</v>
      </c>
      <c r="I213" s="1" t="s">
        <v>128</v>
      </c>
      <c r="J213" s="51" t="s">
        <v>112</v>
      </c>
      <c r="K213" s="51" t="s">
        <v>112</v>
      </c>
      <c r="L213" s="51" t="s">
        <v>112</v>
      </c>
      <c r="M213" s="1">
        <v>1987735</v>
      </c>
      <c r="N213" s="50" t="s">
        <v>502</v>
      </c>
      <c r="O213" s="55">
        <f t="shared" si="137"/>
        <v>42138</v>
      </c>
      <c r="P213" s="55">
        <f t="shared" si="138"/>
        <v>42673</v>
      </c>
      <c r="Q213" s="51">
        <v>1500</v>
      </c>
      <c r="S213" s="51">
        <v>2.5</v>
      </c>
      <c r="U213" s="1">
        <f t="shared" si="107"/>
        <v>536</v>
      </c>
      <c r="V213" s="31">
        <f t="shared" si="108"/>
        <v>2.7985074626865671</v>
      </c>
      <c r="W213" s="31">
        <f t="shared" si="109"/>
        <v>1021.455223880597</v>
      </c>
      <c r="X213" s="31">
        <f t="shared" si="110"/>
        <v>1.2768190298507462</v>
      </c>
      <c r="AA213" s="32">
        <f t="shared" si="111"/>
        <v>42552</v>
      </c>
      <c r="AB213" s="32">
        <f t="shared" si="112"/>
        <v>42735</v>
      </c>
      <c r="AC213" s="50">
        <v>18</v>
      </c>
      <c r="AD213" s="1">
        <f t="shared" si="113"/>
        <v>0</v>
      </c>
      <c r="AE213" s="1">
        <f t="shared" si="114"/>
        <v>0</v>
      </c>
      <c r="AF213" s="1">
        <f t="shared" si="115"/>
        <v>122</v>
      </c>
      <c r="AG213" s="1">
        <f t="shared" si="116"/>
        <v>0</v>
      </c>
      <c r="AH213" s="1">
        <f t="shared" si="117"/>
        <v>0</v>
      </c>
      <c r="AI213" s="23">
        <f t="shared" si="118"/>
        <v>0.66304347826086951</v>
      </c>
      <c r="AJ213" s="23">
        <f t="shared" si="119"/>
        <v>0.84658653066190781</v>
      </c>
      <c r="AK213" s="23">
        <f t="shared" si="120"/>
        <v>15.23855755191434</v>
      </c>
      <c r="AL213" s="23">
        <f t="shared" si="121"/>
        <v>38.09639387978585</v>
      </c>
      <c r="AM213" s="23">
        <f t="shared" si="122"/>
        <v>0</v>
      </c>
      <c r="AN213" s="23">
        <f t="shared" si="123"/>
        <v>38.09639387978585</v>
      </c>
      <c r="AQ213" s="32">
        <f t="shared" si="124"/>
        <v>42736</v>
      </c>
      <c r="AR213" s="32">
        <f t="shared" si="125"/>
        <v>42916</v>
      </c>
      <c r="AS213" s="50">
        <v>16</v>
      </c>
      <c r="AT213" s="1">
        <f t="shared" si="126"/>
        <v>0</v>
      </c>
      <c r="AU213" s="1">
        <f t="shared" si="127"/>
        <v>0</v>
      </c>
      <c r="AV213" s="1">
        <f t="shared" si="128"/>
        <v>0</v>
      </c>
      <c r="AW213" s="1">
        <f t="shared" si="129"/>
        <v>0</v>
      </c>
      <c r="AX213" s="1">
        <f t="shared" si="130"/>
        <v>90.5</v>
      </c>
      <c r="AY213" s="23">
        <f t="shared" si="131"/>
        <v>0.5</v>
      </c>
      <c r="AZ213" s="23">
        <f t="shared" si="132"/>
        <v>0.63840951492537312</v>
      </c>
      <c r="BA213" s="23">
        <f t="shared" si="133"/>
        <v>5.107276119402985</v>
      </c>
      <c r="BB213" s="23">
        <f t="shared" si="134"/>
        <v>12.768190298507463</v>
      </c>
      <c r="BC213" s="23">
        <f t="shared" si="135"/>
        <v>0</v>
      </c>
      <c r="BD213" s="23">
        <f t="shared" si="136"/>
        <v>12.768190298507463</v>
      </c>
    </row>
    <row r="214" spans="1:56">
      <c r="A214" s="1" t="s">
        <v>20</v>
      </c>
      <c r="B214" s="1" t="s">
        <v>32</v>
      </c>
      <c r="C214" s="1" t="s">
        <v>22</v>
      </c>
      <c r="D214" s="1" t="s">
        <v>33</v>
      </c>
      <c r="E214" s="51" t="s">
        <v>107</v>
      </c>
      <c r="F214" s="51" t="s">
        <v>108</v>
      </c>
      <c r="G214" s="51" t="s">
        <v>109</v>
      </c>
      <c r="H214" s="51" t="s">
        <v>213</v>
      </c>
      <c r="I214" s="1" t="s">
        <v>214</v>
      </c>
      <c r="J214" s="51" t="s">
        <v>112</v>
      </c>
      <c r="K214" s="51" t="s">
        <v>112</v>
      </c>
      <c r="L214" s="51" t="s">
        <v>112</v>
      </c>
      <c r="M214" s="1">
        <v>1987736</v>
      </c>
      <c r="N214" s="52" t="s">
        <v>503</v>
      </c>
      <c r="O214" s="55">
        <f t="shared" si="137"/>
        <v>42138</v>
      </c>
      <c r="P214" s="55">
        <f t="shared" ref="P214:P219" si="139">DATE(2019,10,30)</f>
        <v>43768</v>
      </c>
      <c r="Q214" s="51">
        <v>3446</v>
      </c>
      <c r="S214" s="51">
        <v>1.5</v>
      </c>
      <c r="U214" s="1">
        <f t="shared" si="107"/>
        <v>1631</v>
      </c>
      <c r="V214" s="31">
        <f t="shared" si="108"/>
        <v>2.1128142244022072</v>
      </c>
      <c r="W214" s="31">
        <f t="shared" si="109"/>
        <v>771.17719190680566</v>
      </c>
      <c r="X214" s="31">
        <f t="shared" si="110"/>
        <v>0.96397148988350712</v>
      </c>
      <c r="AA214" s="32">
        <f t="shared" si="111"/>
        <v>42552</v>
      </c>
      <c r="AB214" s="32">
        <f t="shared" si="112"/>
        <v>42735</v>
      </c>
      <c r="AC214" s="52">
        <v>31</v>
      </c>
      <c r="AD214" s="1">
        <f t="shared" si="113"/>
        <v>184</v>
      </c>
      <c r="AE214" s="1">
        <f t="shared" si="114"/>
        <v>0</v>
      </c>
      <c r="AF214" s="1">
        <f t="shared" si="115"/>
        <v>0</v>
      </c>
      <c r="AG214" s="1">
        <f t="shared" si="116"/>
        <v>0</v>
      </c>
      <c r="AH214" s="1">
        <f t="shared" si="117"/>
        <v>0</v>
      </c>
      <c r="AI214" s="23">
        <f t="shared" si="118"/>
        <v>1</v>
      </c>
      <c r="AJ214" s="23">
        <f t="shared" si="119"/>
        <v>0.96397148988350712</v>
      </c>
      <c r="AK214" s="23">
        <f t="shared" si="120"/>
        <v>29.883116186388719</v>
      </c>
      <c r="AL214" s="23">
        <f t="shared" si="121"/>
        <v>44.824674279583078</v>
      </c>
      <c r="AM214" s="23">
        <f t="shared" si="122"/>
        <v>0</v>
      </c>
      <c r="AN214" s="23">
        <f t="shared" si="123"/>
        <v>44.824674279583078</v>
      </c>
      <c r="AQ214" s="32">
        <f t="shared" si="124"/>
        <v>42736</v>
      </c>
      <c r="AR214" s="32">
        <f t="shared" si="125"/>
        <v>42916</v>
      </c>
      <c r="AS214" s="52">
        <v>31</v>
      </c>
      <c r="AT214" s="1">
        <f t="shared" si="126"/>
        <v>181</v>
      </c>
      <c r="AU214" s="1">
        <f t="shared" si="127"/>
        <v>0</v>
      </c>
      <c r="AV214" s="1">
        <f t="shared" si="128"/>
        <v>0</v>
      </c>
      <c r="AW214" s="1">
        <f t="shared" si="129"/>
        <v>0</v>
      </c>
      <c r="AX214" s="1">
        <f t="shared" si="130"/>
        <v>0</v>
      </c>
      <c r="AY214" s="23">
        <f t="shared" si="131"/>
        <v>1</v>
      </c>
      <c r="AZ214" s="23">
        <f t="shared" si="132"/>
        <v>0.96397148988350712</v>
      </c>
      <c r="BA214" s="23">
        <f t="shared" si="133"/>
        <v>29.883116186388719</v>
      </c>
      <c r="BB214" s="23">
        <f t="shared" si="134"/>
        <v>44.824674279583078</v>
      </c>
      <c r="BC214" s="23">
        <f t="shared" si="135"/>
        <v>0</v>
      </c>
      <c r="BD214" s="23">
        <f t="shared" si="136"/>
        <v>44.824674279583078</v>
      </c>
    </row>
    <row r="215" spans="1:56">
      <c r="A215" s="1" t="s">
        <v>20</v>
      </c>
      <c r="B215" s="1" t="s">
        <v>32</v>
      </c>
      <c r="C215" s="1" t="s">
        <v>22</v>
      </c>
      <c r="D215" s="1" t="s">
        <v>33</v>
      </c>
      <c r="E215" s="51" t="s">
        <v>107</v>
      </c>
      <c r="F215" s="51" t="s">
        <v>108</v>
      </c>
      <c r="G215" s="51" t="s">
        <v>109</v>
      </c>
      <c r="H215" s="51" t="s">
        <v>283</v>
      </c>
      <c r="I215" s="1" t="s">
        <v>128</v>
      </c>
      <c r="J215" s="51" t="s">
        <v>112</v>
      </c>
      <c r="K215" s="51" t="s">
        <v>112</v>
      </c>
      <c r="L215" s="51" t="s">
        <v>112</v>
      </c>
      <c r="M215" s="1">
        <v>1987738</v>
      </c>
      <c r="N215" s="52" t="s">
        <v>504</v>
      </c>
      <c r="O215" s="55">
        <f t="shared" si="137"/>
        <v>42138</v>
      </c>
      <c r="P215" s="55">
        <f t="shared" si="139"/>
        <v>43768</v>
      </c>
      <c r="Q215" s="51">
        <v>3128</v>
      </c>
      <c r="S215" s="51">
        <v>2.5</v>
      </c>
      <c r="U215" s="1">
        <f t="shared" si="107"/>
        <v>1631</v>
      </c>
      <c r="V215" s="31">
        <f t="shared" si="108"/>
        <v>1.9178418148375229</v>
      </c>
      <c r="W215" s="31">
        <f t="shared" si="109"/>
        <v>700.01226241569589</v>
      </c>
      <c r="X215" s="31">
        <f t="shared" si="110"/>
        <v>0.8750153280196199</v>
      </c>
      <c r="AA215" s="32">
        <f t="shared" si="111"/>
        <v>42552</v>
      </c>
      <c r="AB215" s="32">
        <f t="shared" si="112"/>
        <v>42735</v>
      </c>
      <c r="AC215" s="52">
        <v>25</v>
      </c>
      <c r="AD215" s="1">
        <f t="shared" si="113"/>
        <v>184</v>
      </c>
      <c r="AE215" s="1">
        <f t="shared" si="114"/>
        <v>0</v>
      </c>
      <c r="AF215" s="1">
        <f t="shared" si="115"/>
        <v>0</v>
      </c>
      <c r="AG215" s="1">
        <f t="shared" si="116"/>
        <v>0</v>
      </c>
      <c r="AH215" s="1">
        <f t="shared" si="117"/>
        <v>0</v>
      </c>
      <c r="AI215" s="23">
        <f t="shared" si="118"/>
        <v>1</v>
      </c>
      <c r="AJ215" s="23">
        <f t="shared" si="119"/>
        <v>0.8750153280196199</v>
      </c>
      <c r="AK215" s="23">
        <f t="shared" si="120"/>
        <v>21.875383200490496</v>
      </c>
      <c r="AL215" s="23">
        <f t="shared" si="121"/>
        <v>54.688458001226238</v>
      </c>
      <c r="AM215" s="23">
        <f t="shared" si="122"/>
        <v>0</v>
      </c>
      <c r="AN215" s="23">
        <f t="shared" si="123"/>
        <v>54.688458001226238</v>
      </c>
      <c r="AQ215" s="32">
        <f t="shared" si="124"/>
        <v>42736</v>
      </c>
      <c r="AR215" s="32">
        <f t="shared" si="125"/>
        <v>42916</v>
      </c>
      <c r="AS215" s="52">
        <v>25</v>
      </c>
      <c r="AT215" s="1">
        <f t="shared" si="126"/>
        <v>181</v>
      </c>
      <c r="AU215" s="1">
        <f t="shared" si="127"/>
        <v>0</v>
      </c>
      <c r="AV215" s="1">
        <f t="shared" si="128"/>
        <v>0</v>
      </c>
      <c r="AW215" s="1">
        <f t="shared" si="129"/>
        <v>0</v>
      </c>
      <c r="AX215" s="1">
        <f t="shared" si="130"/>
        <v>0</v>
      </c>
      <c r="AY215" s="23">
        <f t="shared" si="131"/>
        <v>1</v>
      </c>
      <c r="AZ215" s="23">
        <f t="shared" si="132"/>
        <v>0.8750153280196199</v>
      </c>
      <c r="BA215" s="23">
        <f t="shared" si="133"/>
        <v>21.875383200490496</v>
      </c>
      <c r="BB215" s="23">
        <f t="shared" si="134"/>
        <v>54.688458001226238</v>
      </c>
      <c r="BC215" s="23">
        <f t="shared" si="135"/>
        <v>0</v>
      </c>
      <c r="BD215" s="23">
        <f t="shared" si="136"/>
        <v>54.688458001226238</v>
      </c>
    </row>
    <row r="216" spans="1:56">
      <c r="A216" s="1" t="s">
        <v>20</v>
      </c>
      <c r="B216" s="1" t="s">
        <v>32</v>
      </c>
      <c r="C216" s="1" t="s">
        <v>22</v>
      </c>
      <c r="D216" s="1" t="s">
        <v>33</v>
      </c>
      <c r="E216" s="51" t="s">
        <v>107</v>
      </c>
      <c r="F216" s="51" t="s">
        <v>108</v>
      </c>
      <c r="G216" s="51" t="s">
        <v>109</v>
      </c>
      <c r="H216" s="51" t="s">
        <v>273</v>
      </c>
      <c r="I216" s="1" t="s">
        <v>128</v>
      </c>
      <c r="J216" s="51" t="s">
        <v>112</v>
      </c>
      <c r="K216" s="51" t="s">
        <v>112</v>
      </c>
      <c r="L216" s="51" t="s">
        <v>112</v>
      </c>
      <c r="M216" s="1">
        <v>1987740</v>
      </c>
      <c r="N216" s="52" t="s">
        <v>505</v>
      </c>
      <c r="O216" s="55">
        <f t="shared" si="137"/>
        <v>42138</v>
      </c>
      <c r="P216" s="55">
        <f t="shared" si="139"/>
        <v>43768</v>
      </c>
      <c r="Q216" s="51">
        <v>3180</v>
      </c>
      <c r="S216" s="51">
        <v>2.5</v>
      </c>
      <c r="U216" s="1">
        <f t="shared" si="107"/>
        <v>1631</v>
      </c>
      <c r="V216" s="31">
        <f t="shared" si="108"/>
        <v>1.9497240956468425</v>
      </c>
      <c r="W216" s="31">
        <f t="shared" si="109"/>
        <v>711.64929491109751</v>
      </c>
      <c r="X216" s="31">
        <f t="shared" si="110"/>
        <v>0.88956161863887184</v>
      </c>
      <c r="AA216" s="32">
        <f t="shared" si="111"/>
        <v>42552</v>
      </c>
      <c r="AB216" s="32">
        <f t="shared" si="112"/>
        <v>42735</v>
      </c>
      <c r="AC216" s="52">
        <v>25</v>
      </c>
      <c r="AD216" s="1">
        <f t="shared" si="113"/>
        <v>184</v>
      </c>
      <c r="AE216" s="1">
        <f t="shared" si="114"/>
        <v>0</v>
      </c>
      <c r="AF216" s="1">
        <f t="shared" si="115"/>
        <v>0</v>
      </c>
      <c r="AG216" s="1">
        <f t="shared" si="116"/>
        <v>0</v>
      </c>
      <c r="AH216" s="1">
        <f t="shared" si="117"/>
        <v>0</v>
      </c>
      <c r="AI216" s="23">
        <f t="shared" si="118"/>
        <v>1</v>
      </c>
      <c r="AJ216" s="23">
        <f t="shared" si="119"/>
        <v>0.88956161863887184</v>
      </c>
      <c r="AK216" s="23">
        <f t="shared" si="120"/>
        <v>22.239040465971797</v>
      </c>
      <c r="AL216" s="23">
        <f t="shared" si="121"/>
        <v>55.597601164929493</v>
      </c>
      <c r="AM216" s="23">
        <f t="shared" si="122"/>
        <v>0</v>
      </c>
      <c r="AN216" s="23">
        <f t="shared" si="123"/>
        <v>55.597601164929493</v>
      </c>
      <c r="AQ216" s="32">
        <f t="shared" si="124"/>
        <v>42736</v>
      </c>
      <c r="AR216" s="32">
        <f t="shared" si="125"/>
        <v>42916</v>
      </c>
      <c r="AS216" s="52">
        <v>25</v>
      </c>
      <c r="AT216" s="1">
        <f t="shared" si="126"/>
        <v>181</v>
      </c>
      <c r="AU216" s="1">
        <f t="shared" si="127"/>
        <v>0</v>
      </c>
      <c r="AV216" s="1">
        <f t="shared" si="128"/>
        <v>0</v>
      </c>
      <c r="AW216" s="1">
        <f t="shared" si="129"/>
        <v>0</v>
      </c>
      <c r="AX216" s="1">
        <f t="shared" si="130"/>
        <v>0</v>
      </c>
      <c r="AY216" s="23">
        <f t="shared" si="131"/>
        <v>1</v>
      </c>
      <c r="AZ216" s="23">
        <f t="shared" si="132"/>
        <v>0.88956161863887184</v>
      </c>
      <c r="BA216" s="23">
        <f t="shared" si="133"/>
        <v>22.239040465971797</v>
      </c>
      <c r="BB216" s="23">
        <f t="shared" si="134"/>
        <v>55.597601164929493</v>
      </c>
      <c r="BC216" s="23">
        <f t="shared" si="135"/>
        <v>0</v>
      </c>
      <c r="BD216" s="23">
        <f t="shared" si="136"/>
        <v>55.597601164929493</v>
      </c>
    </row>
    <row r="217" spans="1:56">
      <c r="A217" s="1" t="s">
        <v>20</v>
      </c>
      <c r="B217" s="1" t="s">
        <v>32</v>
      </c>
      <c r="C217" s="1" t="s">
        <v>22</v>
      </c>
      <c r="D217" s="1" t="s">
        <v>33</v>
      </c>
      <c r="E217" s="51" t="s">
        <v>107</v>
      </c>
      <c r="F217" s="51" t="s">
        <v>108</v>
      </c>
      <c r="G217" s="51" t="s">
        <v>109</v>
      </c>
      <c r="H217" s="51" t="s">
        <v>127</v>
      </c>
      <c r="I217" s="1" t="s">
        <v>128</v>
      </c>
      <c r="J217" s="51" t="s">
        <v>112</v>
      </c>
      <c r="K217" s="51" t="s">
        <v>112</v>
      </c>
      <c r="L217" s="51" t="s">
        <v>112</v>
      </c>
      <c r="M217" s="1">
        <v>1987741</v>
      </c>
      <c r="N217" s="52" t="s">
        <v>506</v>
      </c>
      <c r="O217" s="55">
        <f t="shared" si="137"/>
        <v>42138</v>
      </c>
      <c r="P217" s="55">
        <f t="shared" si="139"/>
        <v>43768</v>
      </c>
      <c r="Q217" s="51">
        <v>3359</v>
      </c>
      <c r="S217" s="51">
        <v>2.5</v>
      </c>
      <c r="U217" s="1">
        <f t="shared" si="107"/>
        <v>1631</v>
      </c>
      <c r="V217" s="31">
        <f t="shared" si="108"/>
        <v>2.0594727161250765</v>
      </c>
      <c r="W217" s="31">
        <f t="shared" si="109"/>
        <v>751.70754138565292</v>
      </c>
      <c r="X217" s="31">
        <f t="shared" si="110"/>
        <v>0.9396344267320661</v>
      </c>
      <c r="AA217" s="32">
        <f t="shared" si="111"/>
        <v>42552</v>
      </c>
      <c r="AB217" s="32">
        <f t="shared" si="112"/>
        <v>42735</v>
      </c>
      <c r="AC217" s="52">
        <v>27</v>
      </c>
      <c r="AD217" s="1">
        <f t="shared" si="113"/>
        <v>184</v>
      </c>
      <c r="AE217" s="1">
        <f t="shared" si="114"/>
        <v>0</v>
      </c>
      <c r="AF217" s="1">
        <f t="shared" si="115"/>
        <v>0</v>
      </c>
      <c r="AG217" s="1">
        <f t="shared" si="116"/>
        <v>0</v>
      </c>
      <c r="AH217" s="1">
        <f t="shared" si="117"/>
        <v>0</v>
      </c>
      <c r="AI217" s="23">
        <f t="shared" si="118"/>
        <v>1</v>
      </c>
      <c r="AJ217" s="23">
        <f t="shared" si="119"/>
        <v>0.9396344267320661</v>
      </c>
      <c r="AK217" s="23">
        <f t="shared" si="120"/>
        <v>25.370129521765783</v>
      </c>
      <c r="AL217" s="23">
        <f t="shared" si="121"/>
        <v>63.425323804414461</v>
      </c>
      <c r="AM217" s="23">
        <f t="shared" si="122"/>
        <v>0</v>
      </c>
      <c r="AN217" s="23">
        <f t="shared" si="123"/>
        <v>63.425323804414461</v>
      </c>
      <c r="AQ217" s="32">
        <f t="shared" si="124"/>
        <v>42736</v>
      </c>
      <c r="AR217" s="32">
        <f t="shared" si="125"/>
        <v>42916</v>
      </c>
      <c r="AS217" s="52">
        <v>27</v>
      </c>
      <c r="AT217" s="1">
        <f t="shared" si="126"/>
        <v>181</v>
      </c>
      <c r="AU217" s="1">
        <f t="shared" si="127"/>
        <v>0</v>
      </c>
      <c r="AV217" s="1">
        <f t="shared" si="128"/>
        <v>0</v>
      </c>
      <c r="AW217" s="1">
        <f t="shared" si="129"/>
        <v>0</v>
      </c>
      <c r="AX217" s="1">
        <f t="shared" si="130"/>
        <v>0</v>
      </c>
      <c r="AY217" s="23">
        <f t="shared" si="131"/>
        <v>1</v>
      </c>
      <c r="AZ217" s="23">
        <f t="shared" si="132"/>
        <v>0.9396344267320661</v>
      </c>
      <c r="BA217" s="23">
        <f t="shared" si="133"/>
        <v>25.370129521765783</v>
      </c>
      <c r="BB217" s="23">
        <f t="shared" si="134"/>
        <v>63.425323804414461</v>
      </c>
      <c r="BC217" s="23">
        <f t="shared" si="135"/>
        <v>0</v>
      </c>
      <c r="BD217" s="23">
        <f t="shared" si="136"/>
        <v>63.425323804414461</v>
      </c>
    </row>
    <row r="218" spans="1:56">
      <c r="A218" s="1" t="s">
        <v>20</v>
      </c>
      <c r="B218" s="1" t="s">
        <v>32</v>
      </c>
      <c r="C218" s="1" t="s">
        <v>22</v>
      </c>
      <c r="D218" s="1" t="s">
        <v>33</v>
      </c>
      <c r="E218" s="51" t="s">
        <v>107</v>
      </c>
      <c r="F218" s="51" t="s">
        <v>108</v>
      </c>
      <c r="G218" s="51" t="s">
        <v>109</v>
      </c>
      <c r="H218" s="51" t="s">
        <v>110</v>
      </c>
      <c r="I218" s="1" t="s">
        <v>111</v>
      </c>
      <c r="J218" s="51" t="s">
        <v>112</v>
      </c>
      <c r="K218" s="51" t="s">
        <v>112</v>
      </c>
      <c r="L218" s="51" t="s">
        <v>112</v>
      </c>
      <c r="M218" s="1">
        <v>1987742</v>
      </c>
      <c r="N218" s="52" t="s">
        <v>507</v>
      </c>
      <c r="O218" s="55">
        <f t="shared" si="137"/>
        <v>42138</v>
      </c>
      <c r="P218" s="55">
        <f t="shared" si="139"/>
        <v>43768</v>
      </c>
      <c r="Q218" s="51">
        <v>3888</v>
      </c>
      <c r="S218" s="51">
        <v>2</v>
      </c>
      <c r="U218" s="1">
        <f t="shared" si="107"/>
        <v>1631</v>
      </c>
      <c r="V218" s="31">
        <f t="shared" si="108"/>
        <v>2.3838136112814223</v>
      </c>
      <c r="W218" s="31">
        <f t="shared" si="109"/>
        <v>870.09196811771915</v>
      </c>
      <c r="X218" s="31">
        <f t="shared" si="110"/>
        <v>1.087614960147149</v>
      </c>
      <c r="AA218" s="32">
        <f t="shared" si="111"/>
        <v>42552</v>
      </c>
      <c r="AB218" s="32">
        <f t="shared" si="112"/>
        <v>42735</v>
      </c>
      <c r="AC218" s="52">
        <v>23</v>
      </c>
      <c r="AD218" s="1">
        <f t="shared" si="113"/>
        <v>184</v>
      </c>
      <c r="AE218" s="1">
        <f t="shared" si="114"/>
        <v>0</v>
      </c>
      <c r="AF218" s="1">
        <f t="shared" si="115"/>
        <v>0</v>
      </c>
      <c r="AG218" s="1">
        <f t="shared" si="116"/>
        <v>0</v>
      </c>
      <c r="AH218" s="1">
        <f t="shared" si="117"/>
        <v>0</v>
      </c>
      <c r="AI218" s="23">
        <f t="shared" si="118"/>
        <v>1</v>
      </c>
      <c r="AJ218" s="23">
        <f t="shared" si="119"/>
        <v>1.087614960147149</v>
      </c>
      <c r="AK218" s="23">
        <f t="shared" si="120"/>
        <v>25.015144083384428</v>
      </c>
      <c r="AL218" s="23">
        <f t="shared" si="121"/>
        <v>50.030288166768855</v>
      </c>
      <c r="AM218" s="23">
        <f t="shared" si="122"/>
        <v>0</v>
      </c>
      <c r="AN218" s="23">
        <f t="shared" si="123"/>
        <v>50.030288166768855</v>
      </c>
      <c r="AQ218" s="32">
        <f t="shared" si="124"/>
        <v>42736</v>
      </c>
      <c r="AR218" s="32">
        <f t="shared" si="125"/>
        <v>42916</v>
      </c>
      <c r="AS218" s="52">
        <v>22</v>
      </c>
      <c r="AT218" s="1">
        <f t="shared" si="126"/>
        <v>181</v>
      </c>
      <c r="AU218" s="1">
        <f t="shared" si="127"/>
        <v>0</v>
      </c>
      <c r="AV218" s="1">
        <f t="shared" si="128"/>
        <v>0</v>
      </c>
      <c r="AW218" s="1">
        <f t="shared" si="129"/>
        <v>0</v>
      </c>
      <c r="AX218" s="1">
        <f t="shared" si="130"/>
        <v>0</v>
      </c>
      <c r="AY218" s="23">
        <f t="shared" si="131"/>
        <v>1</v>
      </c>
      <c r="AZ218" s="23">
        <f t="shared" si="132"/>
        <v>1.087614960147149</v>
      </c>
      <c r="BA218" s="23">
        <f t="shared" si="133"/>
        <v>23.927529123237278</v>
      </c>
      <c r="BB218" s="23">
        <f t="shared" si="134"/>
        <v>47.855058246474556</v>
      </c>
      <c r="BC218" s="23">
        <f t="shared" si="135"/>
        <v>0</v>
      </c>
      <c r="BD218" s="23">
        <f t="shared" si="136"/>
        <v>47.855058246474556</v>
      </c>
    </row>
    <row r="219" spans="1:56">
      <c r="A219" s="1" t="s">
        <v>20</v>
      </c>
      <c r="B219" s="1" t="s">
        <v>32</v>
      </c>
      <c r="C219" s="1" t="s">
        <v>22</v>
      </c>
      <c r="D219" s="1" t="s">
        <v>33</v>
      </c>
      <c r="E219" s="51" t="s">
        <v>107</v>
      </c>
      <c r="F219" s="51" t="s">
        <v>108</v>
      </c>
      <c r="G219" s="51" t="s">
        <v>109</v>
      </c>
      <c r="H219" s="51" t="s">
        <v>124</v>
      </c>
      <c r="I219" s="1" t="s">
        <v>125</v>
      </c>
      <c r="J219" s="51" t="s">
        <v>112</v>
      </c>
      <c r="K219" s="51" t="s">
        <v>112</v>
      </c>
      <c r="L219" s="51" t="s">
        <v>112</v>
      </c>
      <c r="M219" s="1">
        <v>1987744</v>
      </c>
      <c r="N219" s="52" t="s">
        <v>508</v>
      </c>
      <c r="O219" s="55">
        <f t="shared" si="137"/>
        <v>42138</v>
      </c>
      <c r="P219" s="55">
        <f t="shared" si="139"/>
        <v>43768</v>
      </c>
      <c r="Q219" s="51">
        <v>3322</v>
      </c>
      <c r="S219" s="51">
        <v>2.5</v>
      </c>
      <c r="U219" s="1">
        <f t="shared" si="107"/>
        <v>1631</v>
      </c>
      <c r="V219" s="31">
        <f t="shared" si="108"/>
        <v>2.0367872470876764</v>
      </c>
      <c r="W219" s="31">
        <f t="shared" si="109"/>
        <v>743.42734518700195</v>
      </c>
      <c r="X219" s="31">
        <f t="shared" si="110"/>
        <v>0.92928418148375247</v>
      </c>
      <c r="AA219" s="32">
        <f t="shared" si="111"/>
        <v>42552</v>
      </c>
      <c r="AB219" s="32">
        <f t="shared" si="112"/>
        <v>42735</v>
      </c>
      <c r="AC219" s="52">
        <v>33</v>
      </c>
      <c r="AD219" s="1">
        <f t="shared" si="113"/>
        <v>184</v>
      </c>
      <c r="AE219" s="1">
        <f t="shared" si="114"/>
        <v>0</v>
      </c>
      <c r="AF219" s="1">
        <f t="shared" si="115"/>
        <v>0</v>
      </c>
      <c r="AG219" s="1">
        <f t="shared" si="116"/>
        <v>0</v>
      </c>
      <c r="AH219" s="1">
        <f t="shared" si="117"/>
        <v>0</v>
      </c>
      <c r="AI219" s="23">
        <f t="shared" si="118"/>
        <v>1</v>
      </c>
      <c r="AJ219" s="23">
        <f t="shared" si="119"/>
        <v>0.92928418148375247</v>
      </c>
      <c r="AK219" s="23">
        <f t="shared" si="120"/>
        <v>30.666377988963831</v>
      </c>
      <c r="AL219" s="23">
        <f t="shared" si="121"/>
        <v>76.665944972409577</v>
      </c>
      <c r="AM219" s="23">
        <f t="shared" si="122"/>
        <v>0</v>
      </c>
      <c r="AN219" s="23">
        <f t="shared" si="123"/>
        <v>76.665944972409577</v>
      </c>
      <c r="AQ219" s="32">
        <f t="shared" si="124"/>
        <v>42736</v>
      </c>
      <c r="AR219" s="32">
        <f t="shared" si="125"/>
        <v>42916</v>
      </c>
      <c r="AS219" s="52">
        <v>35</v>
      </c>
      <c r="AT219" s="1">
        <f t="shared" si="126"/>
        <v>181</v>
      </c>
      <c r="AU219" s="1">
        <f t="shared" si="127"/>
        <v>0</v>
      </c>
      <c r="AV219" s="1">
        <f t="shared" si="128"/>
        <v>0</v>
      </c>
      <c r="AW219" s="1">
        <f t="shared" si="129"/>
        <v>0</v>
      </c>
      <c r="AX219" s="1">
        <f t="shared" si="130"/>
        <v>0</v>
      </c>
      <c r="AY219" s="23">
        <f t="shared" si="131"/>
        <v>1</v>
      </c>
      <c r="AZ219" s="23">
        <f t="shared" si="132"/>
        <v>0.92928418148375247</v>
      </c>
      <c r="BA219" s="23">
        <f t="shared" si="133"/>
        <v>32.524946351931334</v>
      </c>
      <c r="BB219" s="23">
        <f t="shared" si="134"/>
        <v>81.312365879828334</v>
      </c>
      <c r="BC219" s="23">
        <f t="shared" si="135"/>
        <v>0</v>
      </c>
      <c r="BD219" s="23">
        <f t="shared" si="136"/>
        <v>81.312365879828334</v>
      </c>
    </row>
    <row r="220" spans="1:56">
      <c r="A220" s="1" t="s">
        <v>20</v>
      </c>
      <c r="B220" s="1" t="s">
        <v>32</v>
      </c>
      <c r="C220" s="1" t="s">
        <v>22</v>
      </c>
      <c r="D220" s="1" t="s">
        <v>33</v>
      </c>
      <c r="E220" s="51" t="s">
        <v>107</v>
      </c>
      <c r="F220" s="51" t="s">
        <v>108</v>
      </c>
      <c r="G220" s="51" t="s">
        <v>109</v>
      </c>
      <c r="H220" s="51" t="s">
        <v>285</v>
      </c>
      <c r="I220" s="1" t="s">
        <v>125</v>
      </c>
      <c r="J220" s="51" t="s">
        <v>112</v>
      </c>
      <c r="K220" s="51" t="s">
        <v>112</v>
      </c>
      <c r="L220" s="51" t="s">
        <v>112</v>
      </c>
      <c r="M220" s="1">
        <v>1987745</v>
      </c>
      <c r="N220" s="52" t="s">
        <v>509</v>
      </c>
      <c r="O220" s="55">
        <f t="shared" si="137"/>
        <v>42138</v>
      </c>
      <c r="P220" s="55">
        <f>DATE(2019,10,31)</f>
        <v>43769</v>
      </c>
      <c r="Q220" s="51">
        <v>3115</v>
      </c>
      <c r="S220" s="51">
        <v>2.5</v>
      </c>
      <c r="U220" s="1">
        <f t="shared" si="107"/>
        <v>1632</v>
      </c>
      <c r="V220" s="31">
        <f t="shared" si="108"/>
        <v>1.9087009803921569</v>
      </c>
      <c r="W220" s="31">
        <f t="shared" si="109"/>
        <v>696.67585784313724</v>
      </c>
      <c r="X220" s="31">
        <f t="shared" si="110"/>
        <v>0.87084482230392157</v>
      </c>
      <c r="AA220" s="32">
        <f t="shared" si="111"/>
        <v>42552</v>
      </c>
      <c r="AB220" s="32">
        <f t="shared" si="112"/>
        <v>42735</v>
      </c>
      <c r="AC220" s="52">
        <v>31</v>
      </c>
      <c r="AD220" s="1">
        <f t="shared" si="113"/>
        <v>184</v>
      </c>
      <c r="AE220" s="1">
        <f t="shared" si="114"/>
        <v>0</v>
      </c>
      <c r="AF220" s="1">
        <f t="shared" si="115"/>
        <v>0</v>
      </c>
      <c r="AG220" s="1">
        <f t="shared" si="116"/>
        <v>0</v>
      </c>
      <c r="AH220" s="1">
        <f t="shared" si="117"/>
        <v>0</v>
      </c>
      <c r="AI220" s="23">
        <f t="shared" si="118"/>
        <v>1</v>
      </c>
      <c r="AJ220" s="23">
        <f t="shared" si="119"/>
        <v>0.87084482230392157</v>
      </c>
      <c r="AK220" s="23">
        <f t="shared" si="120"/>
        <v>26.996189491421568</v>
      </c>
      <c r="AL220" s="23">
        <f t="shared" si="121"/>
        <v>67.490473728553923</v>
      </c>
      <c r="AM220" s="23">
        <f t="shared" si="122"/>
        <v>0</v>
      </c>
      <c r="AN220" s="23">
        <f t="shared" si="123"/>
        <v>67.490473728553923</v>
      </c>
      <c r="AQ220" s="32">
        <f t="shared" si="124"/>
        <v>42736</v>
      </c>
      <c r="AR220" s="32">
        <f t="shared" si="125"/>
        <v>42916</v>
      </c>
      <c r="AS220" s="52">
        <v>31</v>
      </c>
      <c r="AT220" s="1">
        <f t="shared" si="126"/>
        <v>181</v>
      </c>
      <c r="AU220" s="1">
        <f t="shared" si="127"/>
        <v>0</v>
      </c>
      <c r="AV220" s="1">
        <f t="shared" si="128"/>
        <v>0</v>
      </c>
      <c r="AW220" s="1">
        <f t="shared" si="129"/>
        <v>0</v>
      </c>
      <c r="AX220" s="1">
        <f t="shared" si="130"/>
        <v>0</v>
      </c>
      <c r="AY220" s="23">
        <f t="shared" si="131"/>
        <v>1</v>
      </c>
      <c r="AZ220" s="23">
        <f t="shared" si="132"/>
        <v>0.87084482230392157</v>
      </c>
      <c r="BA220" s="23">
        <f t="shared" si="133"/>
        <v>26.996189491421568</v>
      </c>
      <c r="BB220" s="23">
        <f t="shared" si="134"/>
        <v>67.490473728553923</v>
      </c>
      <c r="BC220" s="23">
        <f t="shared" si="135"/>
        <v>0</v>
      </c>
      <c r="BD220" s="23">
        <f t="shared" si="136"/>
        <v>67.490473728553923</v>
      </c>
    </row>
    <row r="221" spans="1:56">
      <c r="A221" s="1" t="s">
        <v>20</v>
      </c>
      <c r="B221" s="1" t="s">
        <v>32</v>
      </c>
      <c r="C221" s="1" t="s">
        <v>22</v>
      </c>
      <c r="D221" s="1" t="s">
        <v>33</v>
      </c>
      <c r="E221" s="51" t="s">
        <v>107</v>
      </c>
      <c r="F221" s="51" t="s">
        <v>108</v>
      </c>
      <c r="G221" s="51" t="s">
        <v>109</v>
      </c>
      <c r="H221" s="51" t="s">
        <v>275</v>
      </c>
      <c r="I221" s="1" t="s">
        <v>128</v>
      </c>
      <c r="J221" s="51" t="s">
        <v>112</v>
      </c>
      <c r="K221" s="51" t="s">
        <v>112</v>
      </c>
      <c r="L221" s="51" t="s">
        <v>112</v>
      </c>
      <c r="M221" s="1">
        <v>1987746</v>
      </c>
      <c r="N221" s="52" t="s">
        <v>510</v>
      </c>
      <c r="O221" s="55">
        <f t="shared" si="137"/>
        <v>42138</v>
      </c>
      <c r="P221" s="55">
        <f>DATE(2019,10,30)</f>
        <v>43768</v>
      </c>
      <c r="Q221" s="51">
        <v>3270</v>
      </c>
      <c r="S221" s="51">
        <v>2.5</v>
      </c>
      <c r="U221" s="1">
        <f t="shared" si="107"/>
        <v>1631</v>
      </c>
      <c r="V221" s="31">
        <f t="shared" si="108"/>
        <v>2.0049049662783567</v>
      </c>
      <c r="W221" s="31">
        <f t="shared" si="109"/>
        <v>731.79031269160021</v>
      </c>
      <c r="X221" s="31">
        <f t="shared" si="110"/>
        <v>0.9147378908645003</v>
      </c>
      <c r="AA221" s="32">
        <f t="shared" si="111"/>
        <v>42552</v>
      </c>
      <c r="AB221" s="32">
        <f t="shared" si="112"/>
        <v>42735</v>
      </c>
      <c r="AC221" s="52">
        <v>29</v>
      </c>
      <c r="AD221" s="1">
        <f t="shared" si="113"/>
        <v>184</v>
      </c>
      <c r="AE221" s="1">
        <f t="shared" si="114"/>
        <v>0</v>
      </c>
      <c r="AF221" s="1">
        <f t="shared" si="115"/>
        <v>0</v>
      </c>
      <c r="AG221" s="1">
        <f t="shared" si="116"/>
        <v>0</v>
      </c>
      <c r="AH221" s="1">
        <f t="shared" si="117"/>
        <v>0</v>
      </c>
      <c r="AI221" s="23">
        <f t="shared" si="118"/>
        <v>1</v>
      </c>
      <c r="AJ221" s="23">
        <f t="shared" si="119"/>
        <v>0.9147378908645003</v>
      </c>
      <c r="AK221" s="23">
        <f t="shared" si="120"/>
        <v>26.52739883507051</v>
      </c>
      <c r="AL221" s="23">
        <f t="shared" si="121"/>
        <v>66.318497087676278</v>
      </c>
      <c r="AM221" s="23">
        <f t="shared" si="122"/>
        <v>0</v>
      </c>
      <c r="AN221" s="23">
        <f t="shared" si="123"/>
        <v>66.318497087676278</v>
      </c>
      <c r="AQ221" s="32">
        <f t="shared" si="124"/>
        <v>42736</v>
      </c>
      <c r="AR221" s="32">
        <f t="shared" si="125"/>
        <v>42916</v>
      </c>
      <c r="AS221" s="52">
        <v>29</v>
      </c>
      <c r="AT221" s="1">
        <f t="shared" si="126"/>
        <v>181</v>
      </c>
      <c r="AU221" s="1">
        <f t="shared" si="127"/>
        <v>0</v>
      </c>
      <c r="AV221" s="1">
        <f t="shared" si="128"/>
        <v>0</v>
      </c>
      <c r="AW221" s="1">
        <f t="shared" si="129"/>
        <v>0</v>
      </c>
      <c r="AX221" s="1">
        <f t="shared" si="130"/>
        <v>0</v>
      </c>
      <c r="AY221" s="23">
        <f t="shared" si="131"/>
        <v>1</v>
      </c>
      <c r="AZ221" s="23">
        <f t="shared" si="132"/>
        <v>0.9147378908645003</v>
      </c>
      <c r="BA221" s="23">
        <f t="shared" si="133"/>
        <v>26.52739883507051</v>
      </c>
      <c r="BB221" s="23">
        <f t="shared" si="134"/>
        <v>66.318497087676278</v>
      </c>
      <c r="BC221" s="23">
        <f t="shared" si="135"/>
        <v>0</v>
      </c>
      <c r="BD221" s="23">
        <f t="shared" si="136"/>
        <v>66.318497087676278</v>
      </c>
    </row>
    <row r="222" spans="1:56">
      <c r="A222" s="1" t="s">
        <v>20</v>
      </c>
      <c r="B222" s="1" t="s">
        <v>32</v>
      </c>
      <c r="C222" s="1" t="s">
        <v>22</v>
      </c>
      <c r="D222" s="1" t="s">
        <v>33</v>
      </c>
      <c r="E222" s="51" t="s">
        <v>107</v>
      </c>
      <c r="F222" s="51" t="s">
        <v>108</v>
      </c>
      <c r="G222" s="51" t="s">
        <v>109</v>
      </c>
      <c r="H222" s="51" t="s">
        <v>290</v>
      </c>
      <c r="I222" s="1" t="s">
        <v>125</v>
      </c>
      <c r="J222" s="51" t="s">
        <v>112</v>
      </c>
      <c r="K222" s="51" t="s">
        <v>112</v>
      </c>
      <c r="L222" s="51" t="s">
        <v>112</v>
      </c>
      <c r="M222" s="1">
        <v>1987747</v>
      </c>
      <c r="N222" s="52" t="s">
        <v>511</v>
      </c>
      <c r="O222" s="55">
        <f t="shared" si="137"/>
        <v>42138</v>
      </c>
      <c r="P222" s="55">
        <f>DATE(2019,10,30)</f>
        <v>43768</v>
      </c>
      <c r="Q222" s="51">
        <v>3404</v>
      </c>
      <c r="S222" s="51">
        <v>2.5</v>
      </c>
      <c r="U222" s="1">
        <f t="shared" si="107"/>
        <v>1631</v>
      </c>
      <c r="V222" s="31">
        <f t="shared" si="108"/>
        <v>2.0870631514408338</v>
      </c>
      <c r="W222" s="31">
        <f t="shared" si="109"/>
        <v>761.77805027590432</v>
      </c>
      <c r="X222" s="31">
        <f t="shared" si="110"/>
        <v>0.95222256284488038</v>
      </c>
      <c r="AA222" s="32">
        <f t="shared" si="111"/>
        <v>42552</v>
      </c>
      <c r="AB222" s="32">
        <f t="shared" si="112"/>
        <v>42735</v>
      </c>
      <c r="AC222" s="52">
        <v>33</v>
      </c>
      <c r="AD222" s="1">
        <f t="shared" si="113"/>
        <v>184</v>
      </c>
      <c r="AE222" s="1">
        <f t="shared" si="114"/>
        <v>0</v>
      </c>
      <c r="AF222" s="1">
        <f t="shared" si="115"/>
        <v>0</v>
      </c>
      <c r="AG222" s="1">
        <f t="shared" si="116"/>
        <v>0</v>
      </c>
      <c r="AH222" s="1">
        <f t="shared" si="117"/>
        <v>0</v>
      </c>
      <c r="AI222" s="23">
        <f t="shared" si="118"/>
        <v>1</v>
      </c>
      <c r="AJ222" s="23">
        <f t="shared" si="119"/>
        <v>0.95222256284488038</v>
      </c>
      <c r="AK222" s="23">
        <f t="shared" si="120"/>
        <v>31.423344573881053</v>
      </c>
      <c r="AL222" s="23">
        <f t="shared" si="121"/>
        <v>78.558361434702633</v>
      </c>
      <c r="AM222" s="23">
        <f t="shared" si="122"/>
        <v>0</v>
      </c>
      <c r="AN222" s="23">
        <f t="shared" si="123"/>
        <v>78.558361434702633</v>
      </c>
      <c r="AQ222" s="32">
        <f t="shared" si="124"/>
        <v>42736</v>
      </c>
      <c r="AR222" s="32">
        <f t="shared" si="125"/>
        <v>42916</v>
      </c>
      <c r="AS222" s="52">
        <v>33</v>
      </c>
      <c r="AT222" s="1">
        <f t="shared" si="126"/>
        <v>181</v>
      </c>
      <c r="AU222" s="1">
        <f t="shared" si="127"/>
        <v>0</v>
      </c>
      <c r="AV222" s="1">
        <f t="shared" si="128"/>
        <v>0</v>
      </c>
      <c r="AW222" s="1">
        <f t="shared" si="129"/>
        <v>0</v>
      </c>
      <c r="AX222" s="1">
        <f t="shared" si="130"/>
        <v>0</v>
      </c>
      <c r="AY222" s="23">
        <f t="shared" si="131"/>
        <v>1</v>
      </c>
      <c r="AZ222" s="23">
        <f t="shared" si="132"/>
        <v>0.95222256284488038</v>
      </c>
      <c r="BA222" s="23">
        <f t="shared" si="133"/>
        <v>31.423344573881053</v>
      </c>
      <c r="BB222" s="23">
        <f t="shared" si="134"/>
        <v>78.558361434702633</v>
      </c>
      <c r="BC222" s="23">
        <f t="shared" si="135"/>
        <v>0</v>
      </c>
      <c r="BD222" s="23">
        <f t="shared" si="136"/>
        <v>78.558361434702633</v>
      </c>
    </row>
    <row r="223" spans="1:56">
      <c r="A223" s="1" t="s">
        <v>20</v>
      </c>
      <c r="B223" s="1" t="s">
        <v>32</v>
      </c>
      <c r="C223" s="1" t="s">
        <v>22</v>
      </c>
      <c r="D223" s="1" t="s">
        <v>33</v>
      </c>
      <c r="E223" s="51" t="s">
        <v>107</v>
      </c>
      <c r="F223" s="51" t="s">
        <v>108</v>
      </c>
      <c r="G223" s="51" t="s">
        <v>109</v>
      </c>
      <c r="H223" s="51" t="s">
        <v>277</v>
      </c>
      <c r="I223" s="1" t="s">
        <v>278</v>
      </c>
      <c r="J223" s="51" t="s">
        <v>112</v>
      </c>
      <c r="K223" s="51" t="s">
        <v>112</v>
      </c>
      <c r="L223" s="51" t="s">
        <v>112</v>
      </c>
      <c r="M223" s="1">
        <v>1987748</v>
      </c>
      <c r="N223" s="52" t="s">
        <v>512</v>
      </c>
      <c r="O223" s="55">
        <f t="shared" si="137"/>
        <v>42138</v>
      </c>
      <c r="P223" s="55">
        <f>DATE(2019,10,30)</f>
        <v>43768</v>
      </c>
      <c r="Q223" s="51">
        <v>3102</v>
      </c>
      <c r="S223" s="51">
        <v>1.5</v>
      </c>
      <c r="U223" s="1">
        <f t="shared" si="107"/>
        <v>1631</v>
      </c>
      <c r="V223" s="31">
        <f t="shared" si="108"/>
        <v>1.9019006744328633</v>
      </c>
      <c r="W223" s="31">
        <f t="shared" si="109"/>
        <v>694.19374616799507</v>
      </c>
      <c r="X223" s="31">
        <f t="shared" si="110"/>
        <v>0.86774218270999381</v>
      </c>
      <c r="AA223" s="32">
        <f t="shared" si="111"/>
        <v>42552</v>
      </c>
      <c r="AB223" s="32">
        <f t="shared" si="112"/>
        <v>42735</v>
      </c>
      <c r="AC223" s="52">
        <v>29</v>
      </c>
      <c r="AD223" s="1">
        <f t="shared" si="113"/>
        <v>184</v>
      </c>
      <c r="AE223" s="1">
        <f t="shared" si="114"/>
        <v>0</v>
      </c>
      <c r="AF223" s="1">
        <f t="shared" si="115"/>
        <v>0</v>
      </c>
      <c r="AG223" s="1">
        <f t="shared" si="116"/>
        <v>0</v>
      </c>
      <c r="AH223" s="1">
        <f t="shared" si="117"/>
        <v>0</v>
      </c>
      <c r="AI223" s="23">
        <f t="shared" si="118"/>
        <v>1</v>
      </c>
      <c r="AJ223" s="23">
        <f t="shared" si="119"/>
        <v>0.86774218270999381</v>
      </c>
      <c r="AK223" s="23">
        <f t="shared" si="120"/>
        <v>25.16452329858982</v>
      </c>
      <c r="AL223" s="23">
        <f t="shared" si="121"/>
        <v>37.746784947884734</v>
      </c>
      <c r="AM223" s="23">
        <f t="shared" si="122"/>
        <v>0</v>
      </c>
      <c r="AN223" s="23">
        <f t="shared" si="123"/>
        <v>37.746784947884734</v>
      </c>
      <c r="AQ223" s="32">
        <f t="shared" si="124"/>
        <v>42736</v>
      </c>
      <c r="AR223" s="32">
        <f t="shared" si="125"/>
        <v>42916</v>
      </c>
      <c r="AS223" s="52">
        <v>29</v>
      </c>
      <c r="AT223" s="1">
        <f t="shared" si="126"/>
        <v>181</v>
      </c>
      <c r="AU223" s="1">
        <f t="shared" si="127"/>
        <v>0</v>
      </c>
      <c r="AV223" s="1">
        <f t="shared" si="128"/>
        <v>0</v>
      </c>
      <c r="AW223" s="1">
        <f t="shared" si="129"/>
        <v>0</v>
      </c>
      <c r="AX223" s="1">
        <f t="shared" si="130"/>
        <v>0</v>
      </c>
      <c r="AY223" s="23">
        <f t="shared" si="131"/>
        <v>1</v>
      </c>
      <c r="AZ223" s="23">
        <f t="shared" si="132"/>
        <v>0.86774218270999381</v>
      </c>
      <c r="BA223" s="23">
        <f t="shared" si="133"/>
        <v>25.16452329858982</v>
      </c>
      <c r="BB223" s="23">
        <f t="shared" si="134"/>
        <v>37.746784947884734</v>
      </c>
      <c r="BC223" s="23">
        <f t="shared" si="135"/>
        <v>0</v>
      </c>
      <c r="BD223" s="23">
        <f t="shared" si="136"/>
        <v>37.746784947884734</v>
      </c>
    </row>
    <row r="224" spans="1:56">
      <c r="A224" s="1" t="s">
        <v>20</v>
      </c>
      <c r="B224" s="1" t="s">
        <v>32</v>
      </c>
      <c r="C224" s="1" t="s">
        <v>22</v>
      </c>
      <c r="D224" s="1" t="s">
        <v>33</v>
      </c>
      <c r="E224" s="51" t="s">
        <v>107</v>
      </c>
      <c r="F224" s="51" t="s">
        <v>108</v>
      </c>
      <c r="G224" s="51" t="s">
        <v>109</v>
      </c>
      <c r="H224" s="51" t="s">
        <v>287</v>
      </c>
      <c r="I224" s="1" t="s">
        <v>111</v>
      </c>
      <c r="J224" s="51" t="s">
        <v>112</v>
      </c>
      <c r="K224" s="51" t="s">
        <v>112</v>
      </c>
      <c r="L224" s="51" t="s">
        <v>112</v>
      </c>
      <c r="M224" s="1">
        <v>1987750</v>
      </c>
      <c r="N224" s="52" t="s">
        <v>513</v>
      </c>
      <c r="O224" s="55">
        <f t="shared" si="137"/>
        <v>42138</v>
      </c>
      <c r="P224" s="55">
        <f>DATE(2019,10,30)</f>
        <v>43768</v>
      </c>
      <c r="Q224" s="51">
        <v>3227</v>
      </c>
      <c r="S224" s="51">
        <v>2.5</v>
      </c>
      <c r="U224" s="1">
        <f t="shared" si="107"/>
        <v>1631</v>
      </c>
      <c r="V224" s="31">
        <f t="shared" si="108"/>
        <v>1.9785407725321889</v>
      </c>
      <c r="W224" s="31">
        <f t="shared" si="109"/>
        <v>722.16738197424888</v>
      </c>
      <c r="X224" s="31">
        <f t="shared" si="110"/>
        <v>0.90270922746781113</v>
      </c>
      <c r="AA224" s="32">
        <f t="shared" si="111"/>
        <v>42552</v>
      </c>
      <c r="AB224" s="32">
        <f t="shared" si="112"/>
        <v>42735</v>
      </c>
      <c r="AC224" s="52">
        <v>32</v>
      </c>
      <c r="AD224" s="1">
        <f t="shared" si="113"/>
        <v>184</v>
      </c>
      <c r="AE224" s="1">
        <f t="shared" si="114"/>
        <v>0</v>
      </c>
      <c r="AF224" s="1">
        <f t="shared" si="115"/>
        <v>0</v>
      </c>
      <c r="AG224" s="1">
        <f t="shared" si="116"/>
        <v>0</v>
      </c>
      <c r="AH224" s="1">
        <f t="shared" si="117"/>
        <v>0</v>
      </c>
      <c r="AI224" s="23">
        <f t="shared" si="118"/>
        <v>1</v>
      </c>
      <c r="AJ224" s="23">
        <f t="shared" si="119"/>
        <v>0.90270922746781113</v>
      </c>
      <c r="AK224" s="23">
        <f t="shared" si="120"/>
        <v>28.886695278969956</v>
      </c>
      <c r="AL224" s="23">
        <f t="shared" si="121"/>
        <v>72.216738197424888</v>
      </c>
      <c r="AM224" s="23">
        <f t="shared" si="122"/>
        <v>0</v>
      </c>
      <c r="AN224" s="23">
        <f t="shared" si="123"/>
        <v>72.216738197424888</v>
      </c>
      <c r="AQ224" s="32">
        <f t="shared" si="124"/>
        <v>42736</v>
      </c>
      <c r="AR224" s="32">
        <f t="shared" si="125"/>
        <v>42916</v>
      </c>
      <c r="AS224" s="52">
        <v>32</v>
      </c>
      <c r="AT224" s="1">
        <f t="shared" si="126"/>
        <v>181</v>
      </c>
      <c r="AU224" s="1">
        <f t="shared" si="127"/>
        <v>0</v>
      </c>
      <c r="AV224" s="1">
        <f t="shared" si="128"/>
        <v>0</v>
      </c>
      <c r="AW224" s="1">
        <f t="shared" si="129"/>
        <v>0</v>
      </c>
      <c r="AX224" s="1">
        <f t="shared" si="130"/>
        <v>0</v>
      </c>
      <c r="AY224" s="23">
        <f t="shared" si="131"/>
        <v>1</v>
      </c>
      <c r="AZ224" s="23">
        <f t="shared" si="132"/>
        <v>0.90270922746781113</v>
      </c>
      <c r="BA224" s="23">
        <f t="shared" si="133"/>
        <v>28.886695278969956</v>
      </c>
      <c r="BB224" s="23">
        <f t="shared" si="134"/>
        <v>72.216738197424888</v>
      </c>
      <c r="BC224" s="23">
        <f t="shared" si="135"/>
        <v>0</v>
      </c>
      <c r="BD224" s="23">
        <f t="shared" si="136"/>
        <v>72.216738197424888</v>
      </c>
    </row>
    <row r="225" spans="1:56">
      <c r="A225" s="1" t="s">
        <v>20</v>
      </c>
      <c r="B225" s="1" t="s">
        <v>32</v>
      </c>
      <c r="C225" s="1" t="s">
        <v>22</v>
      </c>
      <c r="D225" s="1" t="s">
        <v>33</v>
      </c>
      <c r="E225" s="51" t="s">
        <v>107</v>
      </c>
      <c r="F225" s="51" t="s">
        <v>108</v>
      </c>
      <c r="G225" s="51" t="s">
        <v>109</v>
      </c>
      <c r="H225" s="51" t="s">
        <v>110</v>
      </c>
      <c r="I225" s="1" t="s">
        <v>111</v>
      </c>
      <c r="J225" s="51" t="s">
        <v>112</v>
      </c>
      <c r="K225" s="51" t="s">
        <v>112</v>
      </c>
      <c r="L225" s="51" t="s">
        <v>112</v>
      </c>
      <c r="M225" s="1">
        <v>2035241</v>
      </c>
      <c r="N225" s="52" t="s">
        <v>514</v>
      </c>
      <c r="O225" s="55">
        <f t="shared" ref="O225:O249" si="140">DATE(2016,6,13)</f>
        <v>42534</v>
      </c>
      <c r="P225" s="55">
        <f t="shared" ref="P225:P233" si="141">DATE(2020,6,30)</f>
        <v>44012</v>
      </c>
      <c r="Q225" s="51">
        <v>3884</v>
      </c>
      <c r="S225" s="51">
        <v>2</v>
      </c>
      <c r="U225" s="1">
        <f t="shared" si="107"/>
        <v>1479</v>
      </c>
      <c r="V225" s="31">
        <f t="shared" si="108"/>
        <v>2.626098715348208</v>
      </c>
      <c r="W225" s="31">
        <f t="shared" si="109"/>
        <v>958.52603110209589</v>
      </c>
      <c r="X225" s="31">
        <f t="shared" si="110"/>
        <v>1.1981575388776198</v>
      </c>
      <c r="AA225" s="32">
        <f t="shared" si="111"/>
        <v>42552</v>
      </c>
      <c r="AB225" s="32">
        <f t="shared" si="112"/>
        <v>42735</v>
      </c>
      <c r="AC225" s="52">
        <v>23</v>
      </c>
      <c r="AD225" s="1">
        <f t="shared" si="113"/>
        <v>184</v>
      </c>
      <c r="AE225" s="1">
        <f t="shared" si="114"/>
        <v>0</v>
      </c>
      <c r="AF225" s="1">
        <f t="shared" si="115"/>
        <v>0</v>
      </c>
      <c r="AG225" s="1">
        <f t="shared" si="116"/>
        <v>0</v>
      </c>
      <c r="AH225" s="1">
        <f t="shared" si="117"/>
        <v>0</v>
      </c>
      <c r="AI225" s="23">
        <f t="shared" si="118"/>
        <v>1</v>
      </c>
      <c r="AJ225" s="23">
        <f t="shared" si="119"/>
        <v>1.1981575388776198</v>
      </c>
      <c r="AK225" s="23">
        <f t="shared" si="120"/>
        <v>27.557623394185256</v>
      </c>
      <c r="AL225" s="23">
        <f t="shared" si="121"/>
        <v>55.115246788370513</v>
      </c>
      <c r="AM225" s="23">
        <f t="shared" si="122"/>
        <v>0</v>
      </c>
      <c r="AN225" s="23">
        <f t="shared" si="123"/>
        <v>55.115246788370513</v>
      </c>
      <c r="AQ225" s="32">
        <f t="shared" si="124"/>
        <v>42736</v>
      </c>
      <c r="AR225" s="32">
        <f t="shared" si="125"/>
        <v>42916</v>
      </c>
      <c r="AS225" s="52">
        <v>24</v>
      </c>
      <c r="AT225" s="1">
        <f t="shared" si="126"/>
        <v>181</v>
      </c>
      <c r="AU225" s="1">
        <f t="shared" si="127"/>
        <v>0</v>
      </c>
      <c r="AV225" s="1">
        <f t="shared" si="128"/>
        <v>0</v>
      </c>
      <c r="AW225" s="1">
        <f t="shared" si="129"/>
        <v>0</v>
      </c>
      <c r="AX225" s="1">
        <f t="shared" si="130"/>
        <v>0</v>
      </c>
      <c r="AY225" s="23">
        <f t="shared" si="131"/>
        <v>1</v>
      </c>
      <c r="AZ225" s="23">
        <f t="shared" si="132"/>
        <v>1.1981575388776198</v>
      </c>
      <c r="BA225" s="23">
        <f t="shared" si="133"/>
        <v>28.755780933062873</v>
      </c>
      <c r="BB225" s="23">
        <f t="shared" si="134"/>
        <v>57.511561866125746</v>
      </c>
      <c r="BC225" s="23">
        <f t="shared" si="135"/>
        <v>0</v>
      </c>
      <c r="BD225" s="23">
        <f t="shared" si="136"/>
        <v>57.511561866125746</v>
      </c>
    </row>
    <row r="226" spans="1:56">
      <c r="A226" s="1" t="s">
        <v>20</v>
      </c>
      <c r="B226" s="1" t="s">
        <v>32</v>
      </c>
      <c r="C226" s="1" t="s">
        <v>22</v>
      </c>
      <c r="D226" s="1" t="s">
        <v>33</v>
      </c>
      <c r="E226" s="51" t="s">
        <v>107</v>
      </c>
      <c r="F226" s="51" t="s">
        <v>108</v>
      </c>
      <c r="G226" s="51" t="s">
        <v>109</v>
      </c>
      <c r="H226" s="51" t="s">
        <v>213</v>
      </c>
      <c r="I226" s="1" t="s">
        <v>214</v>
      </c>
      <c r="J226" s="51" t="s">
        <v>112</v>
      </c>
      <c r="K226" s="51" t="s">
        <v>112</v>
      </c>
      <c r="L226" s="51" t="s">
        <v>112</v>
      </c>
      <c r="M226" s="1">
        <v>2035242</v>
      </c>
      <c r="N226" s="52" t="s">
        <v>515</v>
      </c>
      <c r="O226" s="55">
        <f t="shared" si="140"/>
        <v>42534</v>
      </c>
      <c r="P226" s="55">
        <f t="shared" si="141"/>
        <v>44012</v>
      </c>
      <c r="Q226" s="51">
        <v>3446</v>
      </c>
      <c r="S226" s="51">
        <v>1.5</v>
      </c>
      <c r="U226" s="1">
        <f t="shared" si="107"/>
        <v>1479</v>
      </c>
      <c r="V226" s="31">
        <f t="shared" si="108"/>
        <v>2.3299526707234617</v>
      </c>
      <c r="W226" s="31">
        <f t="shared" si="109"/>
        <v>850.43272481406348</v>
      </c>
      <c r="X226" s="31">
        <f t="shared" si="110"/>
        <v>1.0630409060175794</v>
      </c>
      <c r="AA226" s="32">
        <f t="shared" si="111"/>
        <v>42552</v>
      </c>
      <c r="AB226" s="32">
        <f t="shared" si="112"/>
        <v>42735</v>
      </c>
      <c r="AC226" s="52">
        <v>32</v>
      </c>
      <c r="AD226" s="1">
        <f t="shared" si="113"/>
        <v>184</v>
      </c>
      <c r="AE226" s="1">
        <f t="shared" si="114"/>
        <v>0</v>
      </c>
      <c r="AF226" s="1">
        <f t="shared" si="115"/>
        <v>0</v>
      </c>
      <c r="AG226" s="1">
        <f t="shared" si="116"/>
        <v>0</v>
      </c>
      <c r="AH226" s="1">
        <f t="shared" si="117"/>
        <v>0</v>
      </c>
      <c r="AI226" s="23">
        <f t="shared" si="118"/>
        <v>1</v>
      </c>
      <c r="AJ226" s="23">
        <f t="shared" si="119"/>
        <v>1.0630409060175794</v>
      </c>
      <c r="AK226" s="23">
        <f t="shared" si="120"/>
        <v>34.01730899256254</v>
      </c>
      <c r="AL226" s="23">
        <f t="shared" si="121"/>
        <v>51.025963488843814</v>
      </c>
      <c r="AM226" s="23">
        <f t="shared" si="122"/>
        <v>0</v>
      </c>
      <c r="AN226" s="23">
        <f t="shared" si="123"/>
        <v>51.025963488843814</v>
      </c>
      <c r="AQ226" s="32">
        <f t="shared" si="124"/>
        <v>42736</v>
      </c>
      <c r="AR226" s="32">
        <f t="shared" si="125"/>
        <v>42916</v>
      </c>
      <c r="AS226" s="52">
        <v>31</v>
      </c>
      <c r="AT226" s="1">
        <f t="shared" si="126"/>
        <v>181</v>
      </c>
      <c r="AU226" s="1">
        <f t="shared" si="127"/>
        <v>0</v>
      </c>
      <c r="AV226" s="1">
        <f t="shared" si="128"/>
        <v>0</v>
      </c>
      <c r="AW226" s="1">
        <f t="shared" si="129"/>
        <v>0</v>
      </c>
      <c r="AX226" s="1">
        <f t="shared" si="130"/>
        <v>0</v>
      </c>
      <c r="AY226" s="23">
        <f t="shared" si="131"/>
        <v>1</v>
      </c>
      <c r="AZ226" s="23">
        <f t="shared" si="132"/>
        <v>1.0630409060175794</v>
      </c>
      <c r="BA226" s="23">
        <f t="shared" si="133"/>
        <v>32.954268086544964</v>
      </c>
      <c r="BB226" s="23">
        <f t="shared" si="134"/>
        <v>49.431402129817442</v>
      </c>
      <c r="BC226" s="23">
        <f t="shared" si="135"/>
        <v>0</v>
      </c>
      <c r="BD226" s="23">
        <f t="shared" si="136"/>
        <v>49.431402129817442</v>
      </c>
    </row>
    <row r="227" spans="1:56">
      <c r="A227" s="1" t="s">
        <v>20</v>
      </c>
      <c r="B227" s="1" t="s">
        <v>32</v>
      </c>
      <c r="C227" s="1" t="s">
        <v>22</v>
      </c>
      <c r="D227" s="1" t="s">
        <v>33</v>
      </c>
      <c r="E227" s="51" t="s">
        <v>107</v>
      </c>
      <c r="F227" s="51" t="s">
        <v>108</v>
      </c>
      <c r="G227" s="51" t="s">
        <v>109</v>
      </c>
      <c r="H227" s="51" t="s">
        <v>287</v>
      </c>
      <c r="I227" s="1" t="s">
        <v>111</v>
      </c>
      <c r="J227" s="51" t="s">
        <v>112</v>
      </c>
      <c r="K227" s="51" t="s">
        <v>112</v>
      </c>
      <c r="L227" s="51" t="s">
        <v>112</v>
      </c>
      <c r="M227" s="1">
        <v>2035245</v>
      </c>
      <c r="N227" s="52" t="s">
        <v>516</v>
      </c>
      <c r="O227" s="55">
        <f t="shared" si="140"/>
        <v>42534</v>
      </c>
      <c r="P227" s="55">
        <f t="shared" si="141"/>
        <v>44012</v>
      </c>
      <c r="Q227" s="51">
        <v>3227</v>
      </c>
      <c r="S227" s="51">
        <v>2.5</v>
      </c>
      <c r="U227" s="1">
        <f t="shared" si="107"/>
        <v>1479</v>
      </c>
      <c r="V227" s="31">
        <f t="shared" si="108"/>
        <v>2.1818796484110887</v>
      </c>
      <c r="W227" s="31">
        <f t="shared" si="109"/>
        <v>796.38607167004739</v>
      </c>
      <c r="X227" s="31">
        <f t="shared" si="110"/>
        <v>0.9954825895875592</v>
      </c>
      <c r="AA227" s="32">
        <f t="shared" si="111"/>
        <v>42552</v>
      </c>
      <c r="AB227" s="32">
        <f t="shared" si="112"/>
        <v>42735</v>
      </c>
      <c r="AC227" s="52">
        <v>35</v>
      </c>
      <c r="AD227" s="1">
        <f t="shared" si="113"/>
        <v>184</v>
      </c>
      <c r="AE227" s="1">
        <f t="shared" si="114"/>
        <v>0</v>
      </c>
      <c r="AF227" s="1">
        <f t="shared" si="115"/>
        <v>0</v>
      </c>
      <c r="AG227" s="1">
        <f t="shared" si="116"/>
        <v>0</v>
      </c>
      <c r="AH227" s="1">
        <f t="shared" si="117"/>
        <v>0</v>
      </c>
      <c r="AI227" s="23">
        <f t="shared" si="118"/>
        <v>1</v>
      </c>
      <c r="AJ227" s="23">
        <f t="shared" si="119"/>
        <v>0.9954825895875592</v>
      </c>
      <c r="AK227" s="23">
        <f t="shared" si="120"/>
        <v>34.841890635564575</v>
      </c>
      <c r="AL227" s="23">
        <f t="shared" si="121"/>
        <v>87.104726588911433</v>
      </c>
      <c r="AM227" s="23">
        <f t="shared" si="122"/>
        <v>0</v>
      </c>
      <c r="AN227" s="23">
        <f t="shared" si="123"/>
        <v>87.104726588911433</v>
      </c>
      <c r="AQ227" s="32">
        <f t="shared" si="124"/>
        <v>42736</v>
      </c>
      <c r="AR227" s="32">
        <f t="shared" si="125"/>
        <v>42916</v>
      </c>
      <c r="AS227" s="52">
        <v>35</v>
      </c>
      <c r="AT227" s="1">
        <f t="shared" si="126"/>
        <v>181</v>
      </c>
      <c r="AU227" s="1">
        <f t="shared" si="127"/>
        <v>0</v>
      </c>
      <c r="AV227" s="1">
        <f t="shared" si="128"/>
        <v>0</v>
      </c>
      <c r="AW227" s="1">
        <f t="shared" si="129"/>
        <v>0</v>
      </c>
      <c r="AX227" s="1">
        <f t="shared" si="130"/>
        <v>0</v>
      </c>
      <c r="AY227" s="23">
        <f t="shared" si="131"/>
        <v>1</v>
      </c>
      <c r="AZ227" s="23">
        <f t="shared" si="132"/>
        <v>0.9954825895875592</v>
      </c>
      <c r="BA227" s="23">
        <f t="shared" si="133"/>
        <v>34.841890635564575</v>
      </c>
      <c r="BB227" s="23">
        <f t="shared" si="134"/>
        <v>87.104726588911433</v>
      </c>
      <c r="BC227" s="23">
        <f t="shared" si="135"/>
        <v>0</v>
      </c>
      <c r="BD227" s="23">
        <f t="shared" si="136"/>
        <v>87.104726588911433</v>
      </c>
    </row>
    <row r="228" spans="1:56">
      <c r="A228" s="1" t="s">
        <v>20</v>
      </c>
      <c r="B228" s="1" t="s">
        <v>32</v>
      </c>
      <c r="C228" s="1" t="s">
        <v>22</v>
      </c>
      <c r="D228" s="1" t="s">
        <v>33</v>
      </c>
      <c r="E228" s="51" t="s">
        <v>107</v>
      </c>
      <c r="F228" s="51" t="s">
        <v>108</v>
      </c>
      <c r="G228" s="51" t="s">
        <v>109</v>
      </c>
      <c r="H228" s="51" t="s">
        <v>290</v>
      </c>
      <c r="I228" s="1" t="s">
        <v>125</v>
      </c>
      <c r="J228" s="51" t="s">
        <v>112</v>
      </c>
      <c r="K228" s="51" t="s">
        <v>112</v>
      </c>
      <c r="L228" s="51" t="s">
        <v>112</v>
      </c>
      <c r="M228" s="1">
        <v>2035249</v>
      </c>
      <c r="N228" s="52" t="s">
        <v>517</v>
      </c>
      <c r="O228" s="55">
        <f t="shared" si="140"/>
        <v>42534</v>
      </c>
      <c r="P228" s="55">
        <f t="shared" si="141"/>
        <v>44012</v>
      </c>
      <c r="Q228" s="51">
        <v>3404</v>
      </c>
      <c r="S228" s="51">
        <v>2.5</v>
      </c>
      <c r="U228" s="1">
        <f t="shared" si="107"/>
        <v>1479</v>
      </c>
      <c r="V228" s="31">
        <f t="shared" si="108"/>
        <v>2.3015551048005407</v>
      </c>
      <c r="W228" s="31">
        <f t="shared" si="109"/>
        <v>840.06761325219736</v>
      </c>
      <c r="X228" s="31">
        <f t="shared" si="110"/>
        <v>1.0500845165652466</v>
      </c>
      <c r="AA228" s="32">
        <f t="shared" si="111"/>
        <v>42552</v>
      </c>
      <c r="AB228" s="32">
        <f t="shared" si="112"/>
        <v>42735</v>
      </c>
      <c r="AC228" s="52">
        <v>30</v>
      </c>
      <c r="AD228" s="1">
        <f t="shared" si="113"/>
        <v>184</v>
      </c>
      <c r="AE228" s="1">
        <f t="shared" si="114"/>
        <v>0</v>
      </c>
      <c r="AF228" s="1">
        <f t="shared" si="115"/>
        <v>0</v>
      </c>
      <c r="AG228" s="1">
        <f t="shared" si="116"/>
        <v>0</v>
      </c>
      <c r="AH228" s="1">
        <f t="shared" si="117"/>
        <v>0</v>
      </c>
      <c r="AI228" s="23">
        <f t="shared" si="118"/>
        <v>1</v>
      </c>
      <c r="AJ228" s="23">
        <f t="shared" si="119"/>
        <v>1.0500845165652466</v>
      </c>
      <c r="AK228" s="23">
        <f t="shared" si="120"/>
        <v>31.5025354969574</v>
      </c>
      <c r="AL228" s="23">
        <f t="shared" si="121"/>
        <v>78.756338742393496</v>
      </c>
      <c r="AM228" s="23">
        <f t="shared" si="122"/>
        <v>0</v>
      </c>
      <c r="AN228" s="23">
        <f t="shared" si="123"/>
        <v>78.756338742393496</v>
      </c>
      <c r="AQ228" s="32">
        <f t="shared" si="124"/>
        <v>42736</v>
      </c>
      <c r="AR228" s="32">
        <f t="shared" si="125"/>
        <v>42916</v>
      </c>
      <c r="AS228" s="52">
        <v>29</v>
      </c>
      <c r="AT228" s="1">
        <f t="shared" si="126"/>
        <v>181</v>
      </c>
      <c r="AU228" s="1">
        <f t="shared" si="127"/>
        <v>0</v>
      </c>
      <c r="AV228" s="1">
        <f t="shared" si="128"/>
        <v>0</v>
      </c>
      <c r="AW228" s="1">
        <f t="shared" si="129"/>
        <v>0</v>
      </c>
      <c r="AX228" s="1">
        <f t="shared" si="130"/>
        <v>0</v>
      </c>
      <c r="AY228" s="23">
        <f t="shared" si="131"/>
        <v>1</v>
      </c>
      <c r="AZ228" s="23">
        <f t="shared" si="132"/>
        <v>1.0500845165652466</v>
      </c>
      <c r="BA228" s="23">
        <f t="shared" si="133"/>
        <v>30.45245098039215</v>
      </c>
      <c r="BB228" s="23">
        <f t="shared" si="134"/>
        <v>76.131127450980372</v>
      </c>
      <c r="BC228" s="23">
        <f t="shared" si="135"/>
        <v>0</v>
      </c>
      <c r="BD228" s="23">
        <f t="shared" si="136"/>
        <v>76.131127450980372</v>
      </c>
    </row>
    <row r="229" spans="1:56">
      <c r="A229" s="1" t="s">
        <v>20</v>
      </c>
      <c r="B229" s="1" t="s">
        <v>32</v>
      </c>
      <c r="C229" s="1" t="s">
        <v>22</v>
      </c>
      <c r="D229" s="1" t="s">
        <v>33</v>
      </c>
      <c r="E229" s="51" t="s">
        <v>107</v>
      </c>
      <c r="F229" s="51" t="s">
        <v>108</v>
      </c>
      <c r="G229" s="51" t="s">
        <v>109</v>
      </c>
      <c r="H229" s="51" t="s">
        <v>127</v>
      </c>
      <c r="I229" s="1" t="s">
        <v>128</v>
      </c>
      <c r="J229" s="51" t="s">
        <v>112</v>
      </c>
      <c r="K229" s="51" t="s">
        <v>112</v>
      </c>
      <c r="L229" s="51" t="s">
        <v>112</v>
      </c>
      <c r="M229" s="1">
        <v>2035250</v>
      </c>
      <c r="N229" s="52" t="s">
        <v>518</v>
      </c>
      <c r="O229" s="55">
        <f t="shared" si="140"/>
        <v>42534</v>
      </c>
      <c r="P229" s="55">
        <f t="shared" si="141"/>
        <v>44012</v>
      </c>
      <c r="Q229" s="51">
        <v>3359</v>
      </c>
      <c r="S229" s="51">
        <v>2.5</v>
      </c>
      <c r="U229" s="1">
        <f t="shared" si="107"/>
        <v>1479</v>
      </c>
      <c r="V229" s="31">
        <f t="shared" si="108"/>
        <v>2.2711291413116972</v>
      </c>
      <c r="W229" s="31">
        <f t="shared" si="109"/>
        <v>828.96213657876945</v>
      </c>
      <c r="X229" s="31">
        <f t="shared" si="110"/>
        <v>1.0362026707234617</v>
      </c>
      <c r="AA229" s="32">
        <f t="shared" si="111"/>
        <v>42552</v>
      </c>
      <c r="AB229" s="32">
        <f t="shared" si="112"/>
        <v>42735</v>
      </c>
      <c r="AC229" s="52">
        <v>31</v>
      </c>
      <c r="AD229" s="1">
        <f t="shared" si="113"/>
        <v>184</v>
      </c>
      <c r="AE229" s="1">
        <f t="shared" si="114"/>
        <v>0</v>
      </c>
      <c r="AF229" s="1">
        <f t="shared" si="115"/>
        <v>0</v>
      </c>
      <c r="AG229" s="1">
        <f t="shared" si="116"/>
        <v>0</v>
      </c>
      <c r="AH229" s="1">
        <f t="shared" si="117"/>
        <v>0</v>
      </c>
      <c r="AI229" s="23">
        <f t="shared" si="118"/>
        <v>1</v>
      </c>
      <c r="AJ229" s="23">
        <f t="shared" si="119"/>
        <v>1.0362026707234617</v>
      </c>
      <c r="AK229" s="23">
        <f t="shared" si="120"/>
        <v>32.122282792427313</v>
      </c>
      <c r="AL229" s="23">
        <f t="shared" si="121"/>
        <v>80.305706981068283</v>
      </c>
      <c r="AM229" s="23">
        <f t="shared" si="122"/>
        <v>0</v>
      </c>
      <c r="AN229" s="23">
        <f t="shared" si="123"/>
        <v>80.305706981068283</v>
      </c>
      <c r="AQ229" s="32">
        <f t="shared" si="124"/>
        <v>42736</v>
      </c>
      <c r="AR229" s="32">
        <f t="shared" si="125"/>
        <v>42916</v>
      </c>
      <c r="AS229" s="52">
        <v>30</v>
      </c>
      <c r="AT229" s="1">
        <f t="shared" si="126"/>
        <v>181</v>
      </c>
      <c r="AU229" s="1">
        <f t="shared" si="127"/>
        <v>0</v>
      </c>
      <c r="AV229" s="1">
        <f t="shared" si="128"/>
        <v>0</v>
      </c>
      <c r="AW229" s="1">
        <f t="shared" si="129"/>
        <v>0</v>
      </c>
      <c r="AX229" s="1">
        <f t="shared" si="130"/>
        <v>0</v>
      </c>
      <c r="AY229" s="23">
        <f t="shared" si="131"/>
        <v>1</v>
      </c>
      <c r="AZ229" s="23">
        <f t="shared" si="132"/>
        <v>1.0362026707234617</v>
      </c>
      <c r="BA229" s="23">
        <f t="shared" si="133"/>
        <v>31.086080121703851</v>
      </c>
      <c r="BB229" s="23">
        <f t="shared" si="134"/>
        <v>77.715200304259625</v>
      </c>
      <c r="BC229" s="23">
        <f t="shared" si="135"/>
        <v>0</v>
      </c>
      <c r="BD229" s="23">
        <f t="shared" si="136"/>
        <v>77.715200304259625</v>
      </c>
    </row>
    <row r="230" spans="1:56">
      <c r="A230" s="1" t="s">
        <v>20</v>
      </c>
      <c r="B230" s="1" t="s">
        <v>32</v>
      </c>
      <c r="C230" s="1" t="s">
        <v>22</v>
      </c>
      <c r="D230" s="1" t="s">
        <v>33</v>
      </c>
      <c r="E230" s="51" t="s">
        <v>107</v>
      </c>
      <c r="F230" s="51" t="s">
        <v>108</v>
      </c>
      <c r="G230" s="51" t="s">
        <v>109</v>
      </c>
      <c r="H230" s="51" t="s">
        <v>285</v>
      </c>
      <c r="I230" s="1" t="s">
        <v>125</v>
      </c>
      <c r="J230" s="51" t="s">
        <v>112</v>
      </c>
      <c r="K230" s="51" t="s">
        <v>112</v>
      </c>
      <c r="L230" s="51" t="s">
        <v>112</v>
      </c>
      <c r="M230" s="1">
        <v>2035252</v>
      </c>
      <c r="N230" s="52" t="s">
        <v>519</v>
      </c>
      <c r="O230" s="55">
        <f t="shared" si="140"/>
        <v>42534</v>
      </c>
      <c r="P230" s="55">
        <f t="shared" si="141"/>
        <v>44012</v>
      </c>
      <c r="Q230" s="51">
        <v>3115</v>
      </c>
      <c r="S230" s="51">
        <v>2.5</v>
      </c>
      <c r="U230" s="1">
        <f t="shared" si="107"/>
        <v>1479</v>
      </c>
      <c r="V230" s="31">
        <f t="shared" si="108"/>
        <v>2.1061528059499661</v>
      </c>
      <c r="W230" s="31">
        <f t="shared" si="109"/>
        <v>768.74577417173759</v>
      </c>
      <c r="X230" s="31">
        <f t="shared" si="110"/>
        <v>0.96093221771467197</v>
      </c>
      <c r="AA230" s="32">
        <f t="shared" si="111"/>
        <v>42552</v>
      </c>
      <c r="AB230" s="32">
        <f t="shared" si="112"/>
        <v>42735</v>
      </c>
      <c r="AC230" s="52">
        <v>30</v>
      </c>
      <c r="AD230" s="1">
        <f t="shared" si="113"/>
        <v>184</v>
      </c>
      <c r="AE230" s="1">
        <f t="shared" si="114"/>
        <v>0</v>
      </c>
      <c r="AF230" s="1">
        <f t="shared" si="115"/>
        <v>0</v>
      </c>
      <c r="AG230" s="1">
        <f t="shared" si="116"/>
        <v>0</v>
      </c>
      <c r="AH230" s="1">
        <f t="shared" si="117"/>
        <v>0</v>
      </c>
      <c r="AI230" s="23">
        <f t="shared" si="118"/>
        <v>1</v>
      </c>
      <c r="AJ230" s="23">
        <f t="shared" si="119"/>
        <v>0.96093221771467197</v>
      </c>
      <c r="AK230" s="23">
        <f t="shared" si="120"/>
        <v>28.827966531440158</v>
      </c>
      <c r="AL230" s="23">
        <f t="shared" si="121"/>
        <v>72.069916328600399</v>
      </c>
      <c r="AM230" s="23">
        <f t="shared" si="122"/>
        <v>0</v>
      </c>
      <c r="AN230" s="23">
        <f t="shared" si="123"/>
        <v>72.069916328600399</v>
      </c>
      <c r="AQ230" s="32">
        <f t="shared" si="124"/>
        <v>42736</v>
      </c>
      <c r="AR230" s="32">
        <f t="shared" si="125"/>
        <v>42916</v>
      </c>
      <c r="AS230" s="52">
        <v>30</v>
      </c>
      <c r="AT230" s="1">
        <f t="shared" si="126"/>
        <v>181</v>
      </c>
      <c r="AU230" s="1">
        <f t="shared" si="127"/>
        <v>0</v>
      </c>
      <c r="AV230" s="1">
        <f t="shared" si="128"/>
        <v>0</v>
      </c>
      <c r="AW230" s="1">
        <f t="shared" si="129"/>
        <v>0</v>
      </c>
      <c r="AX230" s="1">
        <f t="shared" si="130"/>
        <v>0</v>
      </c>
      <c r="AY230" s="23">
        <f t="shared" si="131"/>
        <v>1</v>
      </c>
      <c r="AZ230" s="23">
        <f t="shared" si="132"/>
        <v>0.96093221771467197</v>
      </c>
      <c r="BA230" s="23">
        <f t="shared" si="133"/>
        <v>28.827966531440158</v>
      </c>
      <c r="BB230" s="23">
        <f t="shared" si="134"/>
        <v>72.069916328600399</v>
      </c>
      <c r="BC230" s="23">
        <f t="shared" si="135"/>
        <v>0</v>
      </c>
      <c r="BD230" s="23">
        <f t="shared" si="136"/>
        <v>72.069916328600399</v>
      </c>
    </row>
    <row r="231" spans="1:56">
      <c r="A231" s="1" t="s">
        <v>20</v>
      </c>
      <c r="B231" s="1" t="s">
        <v>32</v>
      </c>
      <c r="C231" s="1" t="s">
        <v>22</v>
      </c>
      <c r="D231" s="1" t="s">
        <v>33</v>
      </c>
      <c r="E231" s="51" t="s">
        <v>107</v>
      </c>
      <c r="F231" s="51" t="s">
        <v>108</v>
      </c>
      <c r="G231" s="51" t="s">
        <v>109</v>
      </c>
      <c r="H231" s="51" t="s">
        <v>124</v>
      </c>
      <c r="I231" s="1" t="s">
        <v>125</v>
      </c>
      <c r="J231" s="51" t="s">
        <v>112</v>
      </c>
      <c r="K231" s="51" t="s">
        <v>112</v>
      </c>
      <c r="L231" s="51" t="s">
        <v>112</v>
      </c>
      <c r="M231" s="1">
        <v>2035253</v>
      </c>
      <c r="N231" s="52" t="s">
        <v>520</v>
      </c>
      <c r="O231" s="55">
        <f t="shared" si="140"/>
        <v>42534</v>
      </c>
      <c r="P231" s="55">
        <f t="shared" si="141"/>
        <v>44012</v>
      </c>
      <c r="Q231" s="51">
        <v>3322</v>
      </c>
      <c r="S231" s="51">
        <v>2.5</v>
      </c>
      <c r="U231" s="1">
        <f t="shared" si="107"/>
        <v>1479</v>
      </c>
      <c r="V231" s="31">
        <f t="shared" si="108"/>
        <v>2.2461122379986476</v>
      </c>
      <c r="W231" s="31">
        <f t="shared" si="109"/>
        <v>819.83096686950637</v>
      </c>
      <c r="X231" s="31">
        <f t="shared" si="110"/>
        <v>1.024788708586883</v>
      </c>
      <c r="AA231" s="32">
        <f t="shared" si="111"/>
        <v>42552</v>
      </c>
      <c r="AB231" s="32">
        <f t="shared" si="112"/>
        <v>42735</v>
      </c>
      <c r="AC231" s="52">
        <v>30</v>
      </c>
      <c r="AD231" s="1">
        <f t="shared" si="113"/>
        <v>184</v>
      </c>
      <c r="AE231" s="1">
        <f t="shared" si="114"/>
        <v>0</v>
      </c>
      <c r="AF231" s="1">
        <f t="shared" si="115"/>
        <v>0</v>
      </c>
      <c r="AG231" s="1">
        <f t="shared" si="116"/>
        <v>0</v>
      </c>
      <c r="AH231" s="1">
        <f t="shared" si="117"/>
        <v>0</v>
      </c>
      <c r="AI231" s="23">
        <f t="shared" si="118"/>
        <v>1</v>
      </c>
      <c r="AJ231" s="23">
        <f t="shared" si="119"/>
        <v>1.024788708586883</v>
      </c>
      <c r="AK231" s="23">
        <f t="shared" si="120"/>
        <v>30.74366125760649</v>
      </c>
      <c r="AL231" s="23">
        <f t="shared" si="121"/>
        <v>76.859153144016233</v>
      </c>
      <c r="AM231" s="23">
        <f t="shared" si="122"/>
        <v>0</v>
      </c>
      <c r="AN231" s="23">
        <f t="shared" si="123"/>
        <v>76.859153144016233</v>
      </c>
      <c r="AQ231" s="32">
        <f t="shared" si="124"/>
        <v>42736</v>
      </c>
      <c r="AR231" s="32">
        <f t="shared" si="125"/>
        <v>42916</v>
      </c>
      <c r="AS231" s="52">
        <v>30</v>
      </c>
      <c r="AT231" s="1">
        <f t="shared" si="126"/>
        <v>181</v>
      </c>
      <c r="AU231" s="1">
        <f t="shared" si="127"/>
        <v>0</v>
      </c>
      <c r="AV231" s="1">
        <f t="shared" si="128"/>
        <v>0</v>
      </c>
      <c r="AW231" s="1">
        <f t="shared" si="129"/>
        <v>0</v>
      </c>
      <c r="AX231" s="1">
        <f t="shared" si="130"/>
        <v>0</v>
      </c>
      <c r="AY231" s="23">
        <f t="shared" si="131"/>
        <v>1</v>
      </c>
      <c r="AZ231" s="23">
        <f t="shared" si="132"/>
        <v>1.024788708586883</v>
      </c>
      <c r="BA231" s="23">
        <f t="shared" si="133"/>
        <v>30.74366125760649</v>
      </c>
      <c r="BB231" s="23">
        <f t="shared" si="134"/>
        <v>76.859153144016233</v>
      </c>
      <c r="BC231" s="23">
        <f t="shared" si="135"/>
        <v>0</v>
      </c>
      <c r="BD231" s="23">
        <f t="shared" si="136"/>
        <v>76.859153144016233</v>
      </c>
    </row>
    <row r="232" spans="1:56">
      <c r="A232" s="1" t="s">
        <v>20</v>
      </c>
      <c r="B232" s="1" t="s">
        <v>32</v>
      </c>
      <c r="C232" s="1" t="s">
        <v>22</v>
      </c>
      <c r="D232" s="1" t="s">
        <v>33</v>
      </c>
      <c r="E232" s="51" t="s">
        <v>107</v>
      </c>
      <c r="F232" s="51" t="s">
        <v>108</v>
      </c>
      <c r="G232" s="51" t="s">
        <v>109</v>
      </c>
      <c r="H232" s="51" t="s">
        <v>273</v>
      </c>
      <c r="I232" s="1" t="s">
        <v>128</v>
      </c>
      <c r="J232" s="51" t="s">
        <v>112</v>
      </c>
      <c r="K232" s="51" t="s">
        <v>112</v>
      </c>
      <c r="L232" s="51" t="s">
        <v>112</v>
      </c>
      <c r="M232" s="1">
        <v>2035258</v>
      </c>
      <c r="N232" s="52" t="s">
        <v>521</v>
      </c>
      <c r="O232" s="55">
        <f t="shared" si="140"/>
        <v>42534</v>
      </c>
      <c r="P232" s="55">
        <f t="shared" si="141"/>
        <v>44012</v>
      </c>
      <c r="Q232" s="51">
        <v>3180</v>
      </c>
      <c r="S232" s="51">
        <v>2.5</v>
      </c>
      <c r="U232" s="1">
        <f t="shared" si="107"/>
        <v>1479</v>
      </c>
      <c r="V232" s="31">
        <f t="shared" si="108"/>
        <v>2.1501014198782959</v>
      </c>
      <c r="W232" s="31">
        <f t="shared" si="109"/>
        <v>784.787018255578</v>
      </c>
      <c r="X232" s="31">
        <f t="shared" si="110"/>
        <v>0.98098377281947247</v>
      </c>
      <c r="AA232" s="32">
        <f t="shared" si="111"/>
        <v>42552</v>
      </c>
      <c r="AB232" s="32">
        <f t="shared" si="112"/>
        <v>42735</v>
      </c>
      <c r="AC232" s="52">
        <v>30</v>
      </c>
      <c r="AD232" s="1">
        <f t="shared" si="113"/>
        <v>184</v>
      </c>
      <c r="AE232" s="1">
        <f t="shared" si="114"/>
        <v>0</v>
      </c>
      <c r="AF232" s="1">
        <f t="shared" si="115"/>
        <v>0</v>
      </c>
      <c r="AG232" s="1">
        <f t="shared" si="116"/>
        <v>0</v>
      </c>
      <c r="AH232" s="1">
        <f t="shared" si="117"/>
        <v>0</v>
      </c>
      <c r="AI232" s="23">
        <f t="shared" si="118"/>
        <v>1</v>
      </c>
      <c r="AJ232" s="23">
        <f t="shared" si="119"/>
        <v>0.98098377281947247</v>
      </c>
      <c r="AK232" s="23">
        <f t="shared" si="120"/>
        <v>29.429513184584174</v>
      </c>
      <c r="AL232" s="23">
        <f t="shared" si="121"/>
        <v>73.573782961460438</v>
      </c>
      <c r="AM232" s="23">
        <f t="shared" si="122"/>
        <v>0</v>
      </c>
      <c r="AN232" s="23">
        <f t="shared" si="123"/>
        <v>73.573782961460438</v>
      </c>
      <c r="AQ232" s="32">
        <f t="shared" si="124"/>
        <v>42736</v>
      </c>
      <c r="AR232" s="32">
        <f t="shared" si="125"/>
        <v>42916</v>
      </c>
      <c r="AS232" s="52">
        <v>29</v>
      </c>
      <c r="AT232" s="1">
        <f t="shared" si="126"/>
        <v>181</v>
      </c>
      <c r="AU232" s="1">
        <f t="shared" si="127"/>
        <v>0</v>
      </c>
      <c r="AV232" s="1">
        <f t="shared" si="128"/>
        <v>0</v>
      </c>
      <c r="AW232" s="1">
        <f t="shared" si="129"/>
        <v>0</v>
      </c>
      <c r="AX232" s="1">
        <f t="shared" si="130"/>
        <v>0</v>
      </c>
      <c r="AY232" s="23">
        <f t="shared" si="131"/>
        <v>1</v>
      </c>
      <c r="AZ232" s="23">
        <f t="shared" si="132"/>
        <v>0.98098377281947247</v>
      </c>
      <c r="BA232" s="23">
        <f t="shared" si="133"/>
        <v>28.448529411764703</v>
      </c>
      <c r="BB232" s="23">
        <f t="shared" si="134"/>
        <v>71.121323529411754</v>
      </c>
      <c r="BC232" s="23">
        <f t="shared" si="135"/>
        <v>0</v>
      </c>
      <c r="BD232" s="23">
        <f t="shared" si="136"/>
        <v>71.121323529411754</v>
      </c>
    </row>
    <row r="233" spans="1:56">
      <c r="A233" s="1" t="s">
        <v>20</v>
      </c>
      <c r="B233" s="1" t="s">
        <v>32</v>
      </c>
      <c r="C233" s="1" t="s">
        <v>22</v>
      </c>
      <c r="D233" s="1" t="s">
        <v>33</v>
      </c>
      <c r="E233" s="51" t="s">
        <v>107</v>
      </c>
      <c r="F233" s="51" t="s">
        <v>108</v>
      </c>
      <c r="G233" s="51" t="s">
        <v>109</v>
      </c>
      <c r="H233" s="51" t="s">
        <v>283</v>
      </c>
      <c r="I233" s="1" t="s">
        <v>128</v>
      </c>
      <c r="J233" s="51" t="s">
        <v>112</v>
      </c>
      <c r="K233" s="51" t="s">
        <v>112</v>
      </c>
      <c r="L233" s="51" t="s">
        <v>112</v>
      </c>
      <c r="M233" s="1">
        <v>2035260</v>
      </c>
      <c r="N233" s="52" t="s">
        <v>522</v>
      </c>
      <c r="O233" s="55">
        <f t="shared" si="140"/>
        <v>42534</v>
      </c>
      <c r="P233" s="55">
        <f t="shared" si="141"/>
        <v>44012</v>
      </c>
      <c r="Q233" s="51">
        <v>3462</v>
      </c>
      <c r="S233" s="51">
        <v>2.5</v>
      </c>
      <c r="U233" s="1">
        <f t="shared" si="107"/>
        <v>1479</v>
      </c>
      <c r="V233" s="31">
        <f t="shared" si="108"/>
        <v>2.3407707910750508</v>
      </c>
      <c r="W233" s="31">
        <f t="shared" si="109"/>
        <v>854.3813387423935</v>
      </c>
      <c r="X233" s="31">
        <f t="shared" si="110"/>
        <v>1.0679766734279919</v>
      </c>
      <c r="AA233" s="32">
        <f t="shared" si="111"/>
        <v>42552</v>
      </c>
      <c r="AB233" s="32">
        <f t="shared" si="112"/>
        <v>42735</v>
      </c>
      <c r="AC233" s="52">
        <v>30</v>
      </c>
      <c r="AD233" s="1">
        <f t="shared" si="113"/>
        <v>184</v>
      </c>
      <c r="AE233" s="1">
        <f t="shared" si="114"/>
        <v>0</v>
      </c>
      <c r="AF233" s="1">
        <f t="shared" si="115"/>
        <v>0</v>
      </c>
      <c r="AG233" s="1">
        <f t="shared" si="116"/>
        <v>0</v>
      </c>
      <c r="AH233" s="1">
        <f t="shared" si="117"/>
        <v>0</v>
      </c>
      <c r="AI233" s="23">
        <f t="shared" si="118"/>
        <v>1</v>
      </c>
      <c r="AJ233" s="23">
        <f t="shared" si="119"/>
        <v>1.0679766734279919</v>
      </c>
      <c r="AK233" s="23">
        <f t="shared" si="120"/>
        <v>32.039300202839755</v>
      </c>
      <c r="AL233" s="23">
        <f t="shared" si="121"/>
        <v>80.09825050709938</v>
      </c>
      <c r="AM233" s="23">
        <f t="shared" si="122"/>
        <v>0</v>
      </c>
      <c r="AN233" s="23">
        <f t="shared" si="123"/>
        <v>80.09825050709938</v>
      </c>
      <c r="AQ233" s="32">
        <f t="shared" si="124"/>
        <v>42736</v>
      </c>
      <c r="AR233" s="32">
        <f t="shared" si="125"/>
        <v>42916</v>
      </c>
      <c r="AS233" s="52">
        <v>30</v>
      </c>
      <c r="AT233" s="1">
        <f t="shared" si="126"/>
        <v>181</v>
      </c>
      <c r="AU233" s="1">
        <f t="shared" si="127"/>
        <v>0</v>
      </c>
      <c r="AV233" s="1">
        <f t="shared" si="128"/>
        <v>0</v>
      </c>
      <c r="AW233" s="1">
        <f t="shared" si="129"/>
        <v>0</v>
      </c>
      <c r="AX233" s="1">
        <f t="shared" si="130"/>
        <v>0</v>
      </c>
      <c r="AY233" s="23">
        <f t="shared" si="131"/>
        <v>1</v>
      </c>
      <c r="AZ233" s="23">
        <f t="shared" si="132"/>
        <v>1.0679766734279919</v>
      </c>
      <c r="BA233" s="23">
        <f t="shared" si="133"/>
        <v>32.039300202839755</v>
      </c>
      <c r="BB233" s="23">
        <f t="shared" si="134"/>
        <v>80.09825050709938</v>
      </c>
      <c r="BC233" s="23">
        <f t="shared" si="135"/>
        <v>0</v>
      </c>
      <c r="BD233" s="23">
        <f t="shared" si="136"/>
        <v>80.09825050709938</v>
      </c>
    </row>
    <row r="234" spans="1:56">
      <c r="A234" s="1" t="s">
        <v>20</v>
      </c>
      <c r="B234" s="1" t="s">
        <v>32</v>
      </c>
      <c r="C234" s="1" t="s">
        <v>22</v>
      </c>
      <c r="D234" s="1" t="s">
        <v>33</v>
      </c>
      <c r="E234" s="51" t="s">
        <v>107</v>
      </c>
      <c r="F234" s="51" t="s">
        <v>108</v>
      </c>
      <c r="G234" s="51" t="s">
        <v>109</v>
      </c>
      <c r="H234" s="51" t="s">
        <v>273</v>
      </c>
      <c r="I234" s="1" t="s">
        <v>128</v>
      </c>
      <c r="J234" s="51" t="s">
        <v>112</v>
      </c>
      <c r="K234" s="51" t="s">
        <v>112</v>
      </c>
      <c r="L234" s="51" t="s">
        <v>112</v>
      </c>
      <c r="M234" s="1">
        <v>2035266</v>
      </c>
      <c r="N234" s="52" t="s">
        <v>523</v>
      </c>
      <c r="O234" s="55">
        <f t="shared" si="140"/>
        <v>42534</v>
      </c>
      <c r="P234" s="55">
        <f t="shared" ref="P234:P241" si="142">DATE(2018,6,30)</f>
        <v>43281</v>
      </c>
      <c r="Q234" s="51">
        <v>1200</v>
      </c>
      <c r="S234" s="51">
        <v>2.5</v>
      </c>
      <c r="U234" s="1">
        <f t="shared" si="107"/>
        <v>748</v>
      </c>
      <c r="V234" s="31">
        <f t="shared" si="108"/>
        <v>1.6042780748663101</v>
      </c>
      <c r="W234" s="31">
        <f t="shared" si="109"/>
        <v>585.56149732620315</v>
      </c>
      <c r="X234" s="31">
        <f t="shared" si="110"/>
        <v>0.73195187165775399</v>
      </c>
      <c r="AA234" s="32">
        <f t="shared" si="111"/>
        <v>42552</v>
      </c>
      <c r="AB234" s="32">
        <f t="shared" si="112"/>
        <v>42735</v>
      </c>
      <c r="AC234" s="52">
        <v>29</v>
      </c>
      <c r="AD234" s="1">
        <f t="shared" si="113"/>
        <v>184</v>
      </c>
      <c r="AE234" s="1">
        <f t="shared" si="114"/>
        <v>0</v>
      </c>
      <c r="AF234" s="1">
        <f t="shared" si="115"/>
        <v>0</v>
      </c>
      <c r="AG234" s="1">
        <f t="shared" si="116"/>
        <v>0</v>
      </c>
      <c r="AH234" s="1">
        <f t="shared" si="117"/>
        <v>0</v>
      </c>
      <c r="AI234" s="23">
        <f t="shared" si="118"/>
        <v>1</v>
      </c>
      <c r="AJ234" s="23">
        <f t="shared" si="119"/>
        <v>0.73195187165775399</v>
      </c>
      <c r="AK234" s="23">
        <f t="shared" si="120"/>
        <v>21.226604278074866</v>
      </c>
      <c r="AL234" s="23">
        <f t="shared" si="121"/>
        <v>53.066510695187162</v>
      </c>
      <c r="AM234" s="23">
        <f t="shared" si="122"/>
        <v>0</v>
      </c>
      <c r="AN234" s="23">
        <f t="shared" si="123"/>
        <v>53.066510695187162</v>
      </c>
      <c r="AQ234" s="32">
        <f t="shared" si="124"/>
        <v>42736</v>
      </c>
      <c r="AR234" s="32">
        <f t="shared" si="125"/>
        <v>42916</v>
      </c>
      <c r="AS234" s="52">
        <v>29</v>
      </c>
      <c r="AT234" s="1">
        <f t="shared" si="126"/>
        <v>181</v>
      </c>
      <c r="AU234" s="1">
        <f t="shared" si="127"/>
        <v>0</v>
      </c>
      <c r="AV234" s="1">
        <f t="shared" si="128"/>
        <v>0</v>
      </c>
      <c r="AW234" s="1">
        <f t="shared" si="129"/>
        <v>0</v>
      </c>
      <c r="AX234" s="1">
        <f t="shared" si="130"/>
        <v>0</v>
      </c>
      <c r="AY234" s="23">
        <f t="shared" si="131"/>
        <v>1</v>
      </c>
      <c r="AZ234" s="23">
        <f t="shared" si="132"/>
        <v>0.73195187165775399</v>
      </c>
      <c r="BA234" s="23">
        <f t="shared" si="133"/>
        <v>21.226604278074866</v>
      </c>
      <c r="BB234" s="23">
        <f t="shared" si="134"/>
        <v>53.066510695187162</v>
      </c>
      <c r="BC234" s="23">
        <f t="shared" si="135"/>
        <v>0</v>
      </c>
      <c r="BD234" s="23">
        <f t="shared" si="136"/>
        <v>53.066510695187162</v>
      </c>
    </row>
    <row r="235" spans="1:56">
      <c r="A235" s="1" t="s">
        <v>20</v>
      </c>
      <c r="B235" s="1" t="s">
        <v>32</v>
      </c>
      <c r="C235" s="1" t="s">
        <v>22</v>
      </c>
      <c r="D235" s="1" t="s">
        <v>33</v>
      </c>
      <c r="E235" s="51" t="s">
        <v>107</v>
      </c>
      <c r="F235" s="51" t="s">
        <v>108</v>
      </c>
      <c r="G235" s="51" t="s">
        <v>109</v>
      </c>
      <c r="H235" s="51" t="s">
        <v>429</v>
      </c>
      <c r="I235" s="1" t="s">
        <v>131</v>
      </c>
      <c r="J235" s="51" t="s">
        <v>112</v>
      </c>
      <c r="K235" s="51" t="s">
        <v>112</v>
      </c>
      <c r="L235" s="51" t="s">
        <v>112</v>
      </c>
      <c r="M235" s="1">
        <v>2035268</v>
      </c>
      <c r="N235" s="52" t="s">
        <v>524</v>
      </c>
      <c r="O235" s="55">
        <f t="shared" si="140"/>
        <v>42534</v>
      </c>
      <c r="P235" s="55">
        <f t="shared" si="142"/>
        <v>43281</v>
      </c>
      <c r="Q235" s="51">
        <v>1480</v>
      </c>
      <c r="S235" s="51">
        <v>1</v>
      </c>
      <c r="U235" s="1">
        <f t="shared" si="107"/>
        <v>748</v>
      </c>
      <c r="V235" s="31">
        <f t="shared" si="108"/>
        <v>1.9786096256684491</v>
      </c>
      <c r="W235" s="31">
        <f t="shared" si="109"/>
        <v>722.1925133689839</v>
      </c>
      <c r="X235" s="31">
        <f t="shared" si="110"/>
        <v>0.90274064171122992</v>
      </c>
      <c r="AA235" s="32">
        <f t="shared" si="111"/>
        <v>42552</v>
      </c>
      <c r="AB235" s="32">
        <f t="shared" si="112"/>
        <v>42735</v>
      </c>
      <c r="AC235" s="52">
        <v>26</v>
      </c>
      <c r="AD235" s="1">
        <f t="shared" si="113"/>
        <v>184</v>
      </c>
      <c r="AE235" s="1">
        <f t="shared" si="114"/>
        <v>0</v>
      </c>
      <c r="AF235" s="1">
        <f t="shared" si="115"/>
        <v>0</v>
      </c>
      <c r="AG235" s="1">
        <f t="shared" si="116"/>
        <v>0</v>
      </c>
      <c r="AH235" s="1">
        <f t="shared" si="117"/>
        <v>0</v>
      </c>
      <c r="AI235" s="23">
        <f t="shared" si="118"/>
        <v>1</v>
      </c>
      <c r="AJ235" s="23">
        <f t="shared" si="119"/>
        <v>0.90274064171122992</v>
      </c>
      <c r="AK235" s="23">
        <f t="shared" si="120"/>
        <v>23.471256684491976</v>
      </c>
      <c r="AL235" s="23">
        <f t="shared" si="121"/>
        <v>23.471256684491976</v>
      </c>
      <c r="AM235" s="23">
        <f t="shared" si="122"/>
        <v>0</v>
      </c>
      <c r="AN235" s="23">
        <f t="shared" si="123"/>
        <v>23.471256684491976</v>
      </c>
      <c r="AQ235" s="32">
        <f t="shared" si="124"/>
        <v>42736</v>
      </c>
      <c r="AR235" s="32">
        <f t="shared" si="125"/>
        <v>42916</v>
      </c>
      <c r="AS235" s="52">
        <v>25</v>
      </c>
      <c r="AT235" s="1">
        <f t="shared" si="126"/>
        <v>181</v>
      </c>
      <c r="AU235" s="1">
        <f t="shared" si="127"/>
        <v>0</v>
      </c>
      <c r="AV235" s="1">
        <f t="shared" si="128"/>
        <v>0</v>
      </c>
      <c r="AW235" s="1">
        <f t="shared" si="129"/>
        <v>0</v>
      </c>
      <c r="AX235" s="1">
        <f t="shared" si="130"/>
        <v>0</v>
      </c>
      <c r="AY235" s="23">
        <f t="shared" si="131"/>
        <v>1</v>
      </c>
      <c r="AZ235" s="23">
        <f t="shared" si="132"/>
        <v>0.90274064171122992</v>
      </c>
      <c r="BA235" s="23">
        <f t="shared" si="133"/>
        <v>22.568516042780747</v>
      </c>
      <c r="BB235" s="23">
        <f t="shared" si="134"/>
        <v>22.568516042780747</v>
      </c>
      <c r="BC235" s="23">
        <f t="shared" si="135"/>
        <v>0</v>
      </c>
      <c r="BD235" s="23">
        <f t="shared" si="136"/>
        <v>22.568516042780747</v>
      </c>
    </row>
    <row r="236" spans="1:56">
      <c r="A236" s="1" t="s">
        <v>20</v>
      </c>
      <c r="B236" s="1" t="s">
        <v>32</v>
      </c>
      <c r="C236" s="1" t="s">
        <v>22</v>
      </c>
      <c r="D236" s="1" t="s">
        <v>33</v>
      </c>
      <c r="E236" s="51" t="s">
        <v>107</v>
      </c>
      <c r="F236" s="51" t="s">
        <v>108</v>
      </c>
      <c r="G236" s="51" t="s">
        <v>109</v>
      </c>
      <c r="H236" s="51" t="s">
        <v>127</v>
      </c>
      <c r="I236" s="1" t="s">
        <v>128</v>
      </c>
      <c r="J236" s="51" t="s">
        <v>112</v>
      </c>
      <c r="K236" s="51" t="s">
        <v>112</v>
      </c>
      <c r="L236" s="51" t="s">
        <v>112</v>
      </c>
      <c r="M236" s="1">
        <v>2035269</v>
      </c>
      <c r="N236" s="52" t="s">
        <v>525</v>
      </c>
      <c r="O236" s="55">
        <f t="shared" si="140"/>
        <v>42534</v>
      </c>
      <c r="P236" s="55">
        <f t="shared" si="142"/>
        <v>43281</v>
      </c>
      <c r="Q236" s="51">
        <v>1480</v>
      </c>
      <c r="S236" s="51">
        <v>2.5</v>
      </c>
      <c r="U236" s="1">
        <f t="shared" si="107"/>
        <v>748</v>
      </c>
      <c r="V236" s="31">
        <f t="shared" si="108"/>
        <v>1.9786096256684491</v>
      </c>
      <c r="W236" s="31">
        <f t="shared" si="109"/>
        <v>722.1925133689839</v>
      </c>
      <c r="X236" s="31">
        <f t="shared" si="110"/>
        <v>0.90274064171122992</v>
      </c>
      <c r="AA236" s="32">
        <f t="shared" si="111"/>
        <v>42552</v>
      </c>
      <c r="AB236" s="32">
        <f t="shared" si="112"/>
        <v>42735</v>
      </c>
      <c r="AC236" s="52">
        <v>34</v>
      </c>
      <c r="AD236" s="1">
        <f t="shared" si="113"/>
        <v>184</v>
      </c>
      <c r="AE236" s="1">
        <f t="shared" si="114"/>
        <v>0</v>
      </c>
      <c r="AF236" s="1">
        <f t="shared" si="115"/>
        <v>0</v>
      </c>
      <c r="AG236" s="1">
        <f t="shared" si="116"/>
        <v>0</v>
      </c>
      <c r="AH236" s="1">
        <f t="shared" si="117"/>
        <v>0</v>
      </c>
      <c r="AI236" s="23">
        <f t="shared" si="118"/>
        <v>1</v>
      </c>
      <c r="AJ236" s="23">
        <f t="shared" si="119"/>
        <v>0.90274064171122992</v>
      </c>
      <c r="AK236" s="23">
        <f t="shared" si="120"/>
        <v>30.693181818181817</v>
      </c>
      <c r="AL236" s="23">
        <f t="shared" si="121"/>
        <v>76.732954545454547</v>
      </c>
      <c r="AM236" s="23">
        <f t="shared" si="122"/>
        <v>0</v>
      </c>
      <c r="AN236" s="23">
        <f t="shared" si="123"/>
        <v>76.732954545454547</v>
      </c>
      <c r="AQ236" s="32">
        <f t="shared" si="124"/>
        <v>42736</v>
      </c>
      <c r="AR236" s="32">
        <f t="shared" si="125"/>
        <v>42916</v>
      </c>
      <c r="AS236" s="52">
        <v>33</v>
      </c>
      <c r="AT236" s="1">
        <f t="shared" si="126"/>
        <v>181</v>
      </c>
      <c r="AU236" s="1">
        <f t="shared" si="127"/>
        <v>0</v>
      </c>
      <c r="AV236" s="1">
        <f t="shared" si="128"/>
        <v>0</v>
      </c>
      <c r="AW236" s="1">
        <f t="shared" si="129"/>
        <v>0</v>
      </c>
      <c r="AX236" s="1">
        <f t="shared" si="130"/>
        <v>0</v>
      </c>
      <c r="AY236" s="23">
        <f t="shared" si="131"/>
        <v>1</v>
      </c>
      <c r="AZ236" s="23">
        <f t="shared" si="132"/>
        <v>0.90274064171122992</v>
      </c>
      <c r="BA236" s="23">
        <f t="shared" si="133"/>
        <v>29.790441176470587</v>
      </c>
      <c r="BB236" s="23">
        <f t="shared" si="134"/>
        <v>74.476102941176464</v>
      </c>
      <c r="BC236" s="23">
        <f t="shared" si="135"/>
        <v>0</v>
      </c>
      <c r="BD236" s="23">
        <f t="shared" si="136"/>
        <v>74.476102941176464</v>
      </c>
    </row>
    <row r="237" spans="1:56">
      <c r="A237" s="1" t="s">
        <v>20</v>
      </c>
      <c r="B237" s="1" t="s">
        <v>32</v>
      </c>
      <c r="C237" s="1" t="s">
        <v>22</v>
      </c>
      <c r="D237" s="1" t="s">
        <v>33</v>
      </c>
      <c r="E237" s="51" t="s">
        <v>107</v>
      </c>
      <c r="F237" s="51" t="s">
        <v>108</v>
      </c>
      <c r="G237" s="51" t="s">
        <v>109</v>
      </c>
      <c r="H237" s="51" t="s">
        <v>156</v>
      </c>
      <c r="I237" s="1" t="s">
        <v>128</v>
      </c>
      <c r="J237" s="51" t="s">
        <v>112</v>
      </c>
      <c r="K237" s="51" t="s">
        <v>112</v>
      </c>
      <c r="L237" s="51" t="s">
        <v>112</v>
      </c>
      <c r="M237" s="1">
        <v>2035271</v>
      </c>
      <c r="N237" s="52" t="s">
        <v>526</v>
      </c>
      <c r="O237" s="55">
        <f t="shared" si="140"/>
        <v>42534</v>
      </c>
      <c r="P237" s="55">
        <f t="shared" si="142"/>
        <v>43281</v>
      </c>
      <c r="Q237" s="51">
        <v>1500</v>
      </c>
      <c r="S237" s="51">
        <v>2.5</v>
      </c>
      <c r="U237" s="1">
        <f t="shared" si="107"/>
        <v>748</v>
      </c>
      <c r="V237" s="31">
        <f t="shared" si="108"/>
        <v>2.0053475935828877</v>
      </c>
      <c r="W237" s="31">
        <f t="shared" si="109"/>
        <v>731.95187165775405</v>
      </c>
      <c r="X237" s="31">
        <f t="shared" si="110"/>
        <v>0.9149398395721926</v>
      </c>
      <c r="AA237" s="32">
        <f t="shared" si="111"/>
        <v>42552</v>
      </c>
      <c r="AB237" s="32">
        <f t="shared" si="112"/>
        <v>42735</v>
      </c>
      <c r="AC237" s="52">
        <v>26</v>
      </c>
      <c r="AD237" s="1">
        <f t="shared" si="113"/>
        <v>184</v>
      </c>
      <c r="AE237" s="1">
        <f t="shared" si="114"/>
        <v>0</v>
      </c>
      <c r="AF237" s="1">
        <f t="shared" si="115"/>
        <v>0</v>
      </c>
      <c r="AG237" s="1">
        <f t="shared" si="116"/>
        <v>0</v>
      </c>
      <c r="AH237" s="1">
        <f t="shared" si="117"/>
        <v>0</v>
      </c>
      <c r="AI237" s="23">
        <f t="shared" si="118"/>
        <v>1</v>
      </c>
      <c r="AJ237" s="23">
        <f t="shared" si="119"/>
        <v>0.9149398395721926</v>
      </c>
      <c r="AK237" s="23">
        <f t="shared" si="120"/>
        <v>23.788435828877006</v>
      </c>
      <c r="AL237" s="23">
        <f t="shared" si="121"/>
        <v>59.471089572192511</v>
      </c>
      <c r="AM237" s="23">
        <f t="shared" si="122"/>
        <v>0</v>
      </c>
      <c r="AN237" s="23">
        <f t="shared" si="123"/>
        <v>59.471089572192511</v>
      </c>
      <c r="AQ237" s="32">
        <f t="shared" si="124"/>
        <v>42736</v>
      </c>
      <c r="AR237" s="32">
        <f t="shared" si="125"/>
        <v>42916</v>
      </c>
      <c r="AS237" s="52">
        <v>25</v>
      </c>
      <c r="AT237" s="1">
        <f t="shared" si="126"/>
        <v>181</v>
      </c>
      <c r="AU237" s="1">
        <f t="shared" si="127"/>
        <v>0</v>
      </c>
      <c r="AV237" s="1">
        <f t="shared" si="128"/>
        <v>0</v>
      </c>
      <c r="AW237" s="1">
        <f t="shared" si="129"/>
        <v>0</v>
      </c>
      <c r="AX237" s="1">
        <f t="shared" si="130"/>
        <v>0</v>
      </c>
      <c r="AY237" s="23">
        <f t="shared" si="131"/>
        <v>1</v>
      </c>
      <c r="AZ237" s="23">
        <f t="shared" si="132"/>
        <v>0.9149398395721926</v>
      </c>
      <c r="BA237" s="23">
        <f t="shared" si="133"/>
        <v>22.873495989304814</v>
      </c>
      <c r="BB237" s="23">
        <f t="shared" si="134"/>
        <v>57.183739973262036</v>
      </c>
      <c r="BC237" s="23">
        <f t="shared" si="135"/>
        <v>0</v>
      </c>
      <c r="BD237" s="23">
        <f t="shared" si="136"/>
        <v>57.183739973262036</v>
      </c>
    </row>
    <row r="238" spans="1:56">
      <c r="A238" s="1" t="s">
        <v>20</v>
      </c>
      <c r="B238" s="1" t="s">
        <v>32</v>
      </c>
      <c r="C238" s="1" t="s">
        <v>22</v>
      </c>
      <c r="D238" s="1" t="s">
        <v>33</v>
      </c>
      <c r="E238" s="51" t="s">
        <v>107</v>
      </c>
      <c r="F238" s="51" t="s">
        <v>108</v>
      </c>
      <c r="G238" s="51" t="s">
        <v>109</v>
      </c>
      <c r="H238" s="51" t="s">
        <v>281</v>
      </c>
      <c r="I238" s="1" t="s">
        <v>147</v>
      </c>
      <c r="J238" s="51" t="s">
        <v>112</v>
      </c>
      <c r="K238" s="51" t="s">
        <v>112</v>
      </c>
      <c r="L238" s="51" t="s">
        <v>112</v>
      </c>
      <c r="M238" s="1">
        <v>2035272</v>
      </c>
      <c r="N238" s="52" t="s">
        <v>527</v>
      </c>
      <c r="O238" s="55">
        <f t="shared" si="140"/>
        <v>42534</v>
      </c>
      <c r="P238" s="55">
        <f t="shared" si="142"/>
        <v>43281</v>
      </c>
      <c r="Q238" s="51">
        <v>1740</v>
      </c>
      <c r="S238" s="51">
        <v>2</v>
      </c>
      <c r="U238" s="1">
        <f t="shared" si="107"/>
        <v>748</v>
      </c>
      <c r="V238" s="31">
        <f t="shared" si="108"/>
        <v>2.3262032085561497</v>
      </c>
      <c r="W238" s="31">
        <f t="shared" si="109"/>
        <v>849.06417112299459</v>
      </c>
      <c r="X238" s="31">
        <f t="shared" si="110"/>
        <v>1.0613302139037433</v>
      </c>
      <c r="AA238" s="32">
        <f t="shared" si="111"/>
        <v>42552</v>
      </c>
      <c r="AB238" s="32">
        <f t="shared" si="112"/>
        <v>42735</v>
      </c>
      <c r="AC238" s="52">
        <v>21</v>
      </c>
      <c r="AD238" s="1">
        <f t="shared" si="113"/>
        <v>184</v>
      </c>
      <c r="AE238" s="1">
        <f t="shared" si="114"/>
        <v>0</v>
      </c>
      <c r="AF238" s="1">
        <f t="shared" si="115"/>
        <v>0</v>
      </c>
      <c r="AG238" s="1">
        <f t="shared" si="116"/>
        <v>0</v>
      </c>
      <c r="AH238" s="1">
        <f t="shared" si="117"/>
        <v>0</v>
      </c>
      <c r="AI238" s="23">
        <f t="shared" si="118"/>
        <v>1</v>
      </c>
      <c r="AJ238" s="23">
        <f t="shared" si="119"/>
        <v>1.0613302139037433</v>
      </c>
      <c r="AK238" s="23">
        <f t="shared" si="120"/>
        <v>22.287934491978607</v>
      </c>
      <c r="AL238" s="23">
        <f t="shared" si="121"/>
        <v>44.575868983957214</v>
      </c>
      <c r="AM238" s="23">
        <f t="shared" si="122"/>
        <v>0</v>
      </c>
      <c r="AN238" s="23">
        <f t="shared" si="123"/>
        <v>44.575868983957214</v>
      </c>
      <c r="AQ238" s="32">
        <f t="shared" si="124"/>
        <v>42736</v>
      </c>
      <c r="AR238" s="32">
        <f t="shared" si="125"/>
        <v>42916</v>
      </c>
      <c r="AS238" s="52">
        <v>21</v>
      </c>
      <c r="AT238" s="1">
        <f t="shared" si="126"/>
        <v>181</v>
      </c>
      <c r="AU238" s="1">
        <f t="shared" si="127"/>
        <v>0</v>
      </c>
      <c r="AV238" s="1">
        <f t="shared" si="128"/>
        <v>0</v>
      </c>
      <c r="AW238" s="1">
        <f t="shared" si="129"/>
        <v>0</v>
      </c>
      <c r="AX238" s="1">
        <f t="shared" si="130"/>
        <v>0</v>
      </c>
      <c r="AY238" s="23">
        <f t="shared" si="131"/>
        <v>1</v>
      </c>
      <c r="AZ238" s="23">
        <f t="shared" si="132"/>
        <v>1.0613302139037433</v>
      </c>
      <c r="BA238" s="23">
        <f t="shared" si="133"/>
        <v>22.287934491978607</v>
      </c>
      <c r="BB238" s="23">
        <f t="shared" si="134"/>
        <v>44.575868983957214</v>
      </c>
      <c r="BC238" s="23">
        <f t="shared" si="135"/>
        <v>0</v>
      </c>
      <c r="BD238" s="23">
        <f t="shared" si="136"/>
        <v>44.575868983957214</v>
      </c>
    </row>
    <row r="239" spans="1:56">
      <c r="A239" s="1" t="s">
        <v>20</v>
      </c>
      <c r="B239" s="1" t="s">
        <v>32</v>
      </c>
      <c r="C239" s="1" t="s">
        <v>22</v>
      </c>
      <c r="D239" s="1" t="s">
        <v>33</v>
      </c>
      <c r="E239" s="51" t="s">
        <v>107</v>
      </c>
      <c r="F239" s="51" t="s">
        <v>108</v>
      </c>
      <c r="G239" s="51" t="s">
        <v>109</v>
      </c>
      <c r="H239" s="51" t="s">
        <v>283</v>
      </c>
      <c r="I239" s="1" t="s">
        <v>128</v>
      </c>
      <c r="J239" s="51" t="s">
        <v>112</v>
      </c>
      <c r="K239" s="51" t="s">
        <v>112</v>
      </c>
      <c r="L239" s="51" t="s">
        <v>112</v>
      </c>
      <c r="M239" s="1">
        <v>2035273</v>
      </c>
      <c r="N239" s="52" t="s">
        <v>528</v>
      </c>
      <c r="O239" s="55">
        <f t="shared" si="140"/>
        <v>42534</v>
      </c>
      <c r="P239" s="55">
        <f t="shared" si="142"/>
        <v>43281</v>
      </c>
      <c r="Q239" s="51">
        <v>1200</v>
      </c>
      <c r="S239" s="51">
        <v>2.5</v>
      </c>
      <c r="U239" s="1">
        <f t="shared" si="107"/>
        <v>748</v>
      </c>
      <c r="V239" s="31">
        <f t="shared" si="108"/>
        <v>1.6042780748663101</v>
      </c>
      <c r="W239" s="31">
        <f t="shared" si="109"/>
        <v>585.56149732620315</v>
      </c>
      <c r="X239" s="31">
        <f t="shared" si="110"/>
        <v>0.73195187165775399</v>
      </c>
      <c r="AA239" s="32">
        <f t="shared" si="111"/>
        <v>42552</v>
      </c>
      <c r="AB239" s="32">
        <f t="shared" si="112"/>
        <v>42735</v>
      </c>
      <c r="AC239" s="52">
        <v>29</v>
      </c>
      <c r="AD239" s="1">
        <f t="shared" si="113"/>
        <v>184</v>
      </c>
      <c r="AE239" s="1">
        <f t="shared" si="114"/>
        <v>0</v>
      </c>
      <c r="AF239" s="1">
        <f t="shared" si="115"/>
        <v>0</v>
      </c>
      <c r="AG239" s="1">
        <f t="shared" si="116"/>
        <v>0</v>
      </c>
      <c r="AH239" s="1">
        <f t="shared" si="117"/>
        <v>0</v>
      </c>
      <c r="AI239" s="23">
        <f t="shared" si="118"/>
        <v>1</v>
      </c>
      <c r="AJ239" s="23">
        <f t="shared" si="119"/>
        <v>0.73195187165775399</v>
      </c>
      <c r="AK239" s="23">
        <f t="shared" si="120"/>
        <v>21.226604278074866</v>
      </c>
      <c r="AL239" s="23">
        <f t="shared" si="121"/>
        <v>53.066510695187162</v>
      </c>
      <c r="AM239" s="23">
        <f t="shared" si="122"/>
        <v>0</v>
      </c>
      <c r="AN239" s="23">
        <f t="shared" si="123"/>
        <v>53.066510695187162</v>
      </c>
      <c r="AQ239" s="32">
        <f t="shared" si="124"/>
        <v>42736</v>
      </c>
      <c r="AR239" s="32">
        <f t="shared" si="125"/>
        <v>42916</v>
      </c>
      <c r="AS239" s="52">
        <v>28</v>
      </c>
      <c r="AT239" s="1">
        <f t="shared" si="126"/>
        <v>181</v>
      </c>
      <c r="AU239" s="1">
        <f t="shared" si="127"/>
        <v>0</v>
      </c>
      <c r="AV239" s="1">
        <f t="shared" si="128"/>
        <v>0</v>
      </c>
      <c r="AW239" s="1">
        <f t="shared" si="129"/>
        <v>0</v>
      </c>
      <c r="AX239" s="1">
        <f t="shared" si="130"/>
        <v>0</v>
      </c>
      <c r="AY239" s="23">
        <f t="shared" si="131"/>
        <v>1</v>
      </c>
      <c r="AZ239" s="23">
        <f t="shared" si="132"/>
        <v>0.73195187165775399</v>
      </c>
      <c r="BA239" s="23">
        <f t="shared" si="133"/>
        <v>20.49465240641711</v>
      </c>
      <c r="BB239" s="23">
        <f t="shared" si="134"/>
        <v>51.236631016042779</v>
      </c>
      <c r="BC239" s="23">
        <f t="shared" si="135"/>
        <v>0</v>
      </c>
      <c r="BD239" s="23">
        <f t="shared" si="136"/>
        <v>51.236631016042779</v>
      </c>
    </row>
    <row r="240" spans="1:56">
      <c r="A240" s="1" t="s">
        <v>20</v>
      </c>
      <c r="B240" s="1" t="s">
        <v>32</v>
      </c>
      <c r="C240" s="1" t="s">
        <v>22</v>
      </c>
      <c r="D240" s="1" t="s">
        <v>33</v>
      </c>
      <c r="E240" s="51" t="s">
        <v>107</v>
      </c>
      <c r="F240" s="51" t="s">
        <v>108</v>
      </c>
      <c r="G240" s="51" t="s">
        <v>109</v>
      </c>
      <c r="H240" s="51" t="s">
        <v>161</v>
      </c>
      <c r="I240" s="1" t="s">
        <v>131</v>
      </c>
      <c r="J240" s="51" t="s">
        <v>112</v>
      </c>
      <c r="K240" s="51" t="s">
        <v>112</v>
      </c>
      <c r="L240" s="51" t="s">
        <v>112</v>
      </c>
      <c r="M240" s="1">
        <v>2035274</v>
      </c>
      <c r="N240" s="52" t="s">
        <v>529</v>
      </c>
      <c r="O240" s="55">
        <f t="shared" si="140"/>
        <v>42534</v>
      </c>
      <c r="P240" s="55">
        <f t="shared" si="142"/>
        <v>43281</v>
      </c>
      <c r="Q240" s="51">
        <v>1540</v>
      </c>
      <c r="S240" s="51">
        <v>2.5</v>
      </c>
      <c r="U240" s="1">
        <f t="shared" si="107"/>
        <v>748</v>
      </c>
      <c r="V240" s="31">
        <f t="shared" si="108"/>
        <v>2.0588235294117645</v>
      </c>
      <c r="W240" s="31">
        <f t="shared" si="109"/>
        <v>751.47058823529403</v>
      </c>
      <c r="X240" s="31">
        <f t="shared" si="110"/>
        <v>0.93933823529411753</v>
      </c>
      <c r="AA240" s="32">
        <f t="shared" si="111"/>
        <v>42552</v>
      </c>
      <c r="AB240" s="32">
        <f t="shared" si="112"/>
        <v>42735</v>
      </c>
      <c r="AC240" s="52">
        <v>27</v>
      </c>
      <c r="AD240" s="1">
        <f t="shared" si="113"/>
        <v>184</v>
      </c>
      <c r="AE240" s="1">
        <f t="shared" si="114"/>
        <v>0</v>
      </c>
      <c r="AF240" s="1">
        <f t="shared" si="115"/>
        <v>0</v>
      </c>
      <c r="AG240" s="1">
        <f t="shared" si="116"/>
        <v>0</v>
      </c>
      <c r="AH240" s="1">
        <f t="shared" si="117"/>
        <v>0</v>
      </c>
      <c r="AI240" s="23">
        <f t="shared" si="118"/>
        <v>1</v>
      </c>
      <c r="AJ240" s="23">
        <f t="shared" si="119"/>
        <v>0.93933823529411753</v>
      </c>
      <c r="AK240" s="23">
        <f t="shared" si="120"/>
        <v>25.362132352941174</v>
      </c>
      <c r="AL240" s="23">
        <f t="shared" si="121"/>
        <v>63.405330882352935</v>
      </c>
      <c r="AM240" s="23">
        <f t="shared" si="122"/>
        <v>0</v>
      </c>
      <c r="AN240" s="23">
        <f t="shared" si="123"/>
        <v>63.405330882352935</v>
      </c>
      <c r="AQ240" s="32">
        <f t="shared" si="124"/>
        <v>42736</v>
      </c>
      <c r="AR240" s="32">
        <f t="shared" si="125"/>
        <v>42916</v>
      </c>
      <c r="AS240" s="52">
        <v>27</v>
      </c>
      <c r="AT240" s="1">
        <f t="shared" si="126"/>
        <v>181</v>
      </c>
      <c r="AU240" s="1">
        <f t="shared" si="127"/>
        <v>0</v>
      </c>
      <c r="AV240" s="1">
        <f t="shared" si="128"/>
        <v>0</v>
      </c>
      <c r="AW240" s="1">
        <f t="shared" si="129"/>
        <v>0</v>
      </c>
      <c r="AX240" s="1">
        <f t="shared" si="130"/>
        <v>0</v>
      </c>
      <c r="AY240" s="23">
        <f t="shared" si="131"/>
        <v>1</v>
      </c>
      <c r="AZ240" s="23">
        <f t="shared" si="132"/>
        <v>0.93933823529411753</v>
      </c>
      <c r="BA240" s="23">
        <f t="shared" si="133"/>
        <v>25.362132352941174</v>
      </c>
      <c r="BB240" s="23">
        <f t="shared" si="134"/>
        <v>63.405330882352935</v>
      </c>
      <c r="BC240" s="23">
        <f t="shared" si="135"/>
        <v>0</v>
      </c>
      <c r="BD240" s="23">
        <f t="shared" si="136"/>
        <v>63.405330882352935</v>
      </c>
    </row>
    <row r="241" spans="1:56">
      <c r="A241" s="1" t="s">
        <v>20</v>
      </c>
      <c r="B241" s="1" t="s">
        <v>32</v>
      </c>
      <c r="C241" s="1" t="s">
        <v>22</v>
      </c>
      <c r="D241" s="1" t="s">
        <v>33</v>
      </c>
      <c r="E241" s="51" t="s">
        <v>107</v>
      </c>
      <c r="F241" s="51" t="s">
        <v>108</v>
      </c>
      <c r="G241" s="51" t="s">
        <v>109</v>
      </c>
      <c r="H241" s="51" t="s">
        <v>287</v>
      </c>
      <c r="I241" s="1" t="s">
        <v>111</v>
      </c>
      <c r="J241" s="51" t="s">
        <v>112</v>
      </c>
      <c r="K241" s="51" t="s">
        <v>112</v>
      </c>
      <c r="L241" s="51" t="s">
        <v>112</v>
      </c>
      <c r="M241" s="1">
        <v>2035275</v>
      </c>
      <c r="N241" s="52" t="s">
        <v>530</v>
      </c>
      <c r="O241" s="55">
        <f t="shared" si="140"/>
        <v>42534</v>
      </c>
      <c r="P241" s="55">
        <f t="shared" si="142"/>
        <v>43281</v>
      </c>
      <c r="Q241" s="51">
        <v>1200</v>
      </c>
      <c r="S241" s="51">
        <v>2.5</v>
      </c>
      <c r="U241" s="1">
        <f t="shared" si="107"/>
        <v>748</v>
      </c>
      <c r="V241" s="31">
        <f t="shared" si="108"/>
        <v>1.6042780748663101</v>
      </c>
      <c r="W241" s="31">
        <f t="shared" si="109"/>
        <v>585.56149732620315</v>
      </c>
      <c r="X241" s="31">
        <f t="shared" si="110"/>
        <v>0.73195187165775399</v>
      </c>
      <c r="AA241" s="32">
        <f t="shared" si="111"/>
        <v>42552</v>
      </c>
      <c r="AB241" s="32">
        <f t="shared" si="112"/>
        <v>42735</v>
      </c>
      <c r="AC241" s="52">
        <v>32</v>
      </c>
      <c r="AD241" s="1">
        <f t="shared" si="113"/>
        <v>184</v>
      </c>
      <c r="AE241" s="1">
        <f t="shared" si="114"/>
        <v>0</v>
      </c>
      <c r="AF241" s="1">
        <f t="shared" si="115"/>
        <v>0</v>
      </c>
      <c r="AG241" s="1">
        <f t="shared" si="116"/>
        <v>0</v>
      </c>
      <c r="AH241" s="1">
        <f t="shared" si="117"/>
        <v>0</v>
      </c>
      <c r="AI241" s="23">
        <f t="shared" si="118"/>
        <v>1</v>
      </c>
      <c r="AJ241" s="23">
        <f t="shared" si="119"/>
        <v>0.73195187165775399</v>
      </c>
      <c r="AK241" s="23">
        <f t="shared" si="120"/>
        <v>23.422459893048128</v>
      </c>
      <c r="AL241" s="23">
        <f t="shared" si="121"/>
        <v>58.55614973262032</v>
      </c>
      <c r="AM241" s="23">
        <f t="shared" si="122"/>
        <v>0</v>
      </c>
      <c r="AN241" s="23">
        <f t="shared" si="123"/>
        <v>58.55614973262032</v>
      </c>
      <c r="AQ241" s="32">
        <f t="shared" si="124"/>
        <v>42736</v>
      </c>
      <c r="AR241" s="32">
        <f t="shared" si="125"/>
        <v>42916</v>
      </c>
      <c r="AS241" s="52">
        <v>31</v>
      </c>
      <c r="AT241" s="1">
        <f t="shared" si="126"/>
        <v>181</v>
      </c>
      <c r="AU241" s="1">
        <f t="shared" si="127"/>
        <v>0</v>
      </c>
      <c r="AV241" s="1">
        <f t="shared" si="128"/>
        <v>0</v>
      </c>
      <c r="AW241" s="1">
        <f t="shared" si="129"/>
        <v>0</v>
      </c>
      <c r="AX241" s="1">
        <f t="shared" si="130"/>
        <v>0</v>
      </c>
      <c r="AY241" s="23">
        <f t="shared" si="131"/>
        <v>1</v>
      </c>
      <c r="AZ241" s="23">
        <f t="shared" si="132"/>
        <v>0.73195187165775399</v>
      </c>
      <c r="BA241" s="23">
        <f t="shared" si="133"/>
        <v>22.690508021390375</v>
      </c>
      <c r="BB241" s="23">
        <f t="shared" si="134"/>
        <v>56.726270053475936</v>
      </c>
      <c r="BC241" s="23">
        <f t="shared" si="135"/>
        <v>0</v>
      </c>
      <c r="BD241" s="23">
        <f t="shared" si="136"/>
        <v>56.726270053475936</v>
      </c>
    </row>
    <row r="242" spans="1:56">
      <c r="A242" s="1" t="s">
        <v>20</v>
      </c>
      <c r="B242" s="1" t="s">
        <v>32</v>
      </c>
      <c r="C242" s="1" t="s">
        <v>22</v>
      </c>
      <c r="D242" s="1" t="s">
        <v>33</v>
      </c>
      <c r="E242" s="51" t="s">
        <v>107</v>
      </c>
      <c r="F242" s="51" t="s">
        <v>108</v>
      </c>
      <c r="G242" s="51" t="s">
        <v>109</v>
      </c>
      <c r="H242" s="51" t="s">
        <v>285</v>
      </c>
      <c r="I242" s="1" t="s">
        <v>125</v>
      </c>
      <c r="J242" s="51" t="s">
        <v>112</v>
      </c>
      <c r="K242" s="51" t="s">
        <v>112</v>
      </c>
      <c r="L242" s="51" t="s">
        <v>112</v>
      </c>
      <c r="M242" s="1">
        <v>2035277</v>
      </c>
      <c r="N242" s="51" t="s">
        <v>531</v>
      </c>
      <c r="O242" s="55">
        <f t="shared" si="140"/>
        <v>42534</v>
      </c>
      <c r="P242" s="55">
        <f t="shared" ref="P242:P249" si="143">DATE(2017,12,30)</f>
        <v>43099</v>
      </c>
      <c r="Q242" s="51">
        <v>1340</v>
      </c>
      <c r="S242" s="51">
        <v>2.5</v>
      </c>
      <c r="U242" s="1">
        <f t="shared" si="107"/>
        <v>566</v>
      </c>
      <c r="V242" s="31">
        <f t="shared" si="108"/>
        <v>2.3674911660777385</v>
      </c>
      <c r="W242" s="31">
        <f t="shared" si="109"/>
        <v>864.13427561837455</v>
      </c>
      <c r="X242" s="31">
        <f t="shared" si="110"/>
        <v>1.0801678445229681</v>
      </c>
      <c r="AA242" s="32">
        <f t="shared" si="111"/>
        <v>42552</v>
      </c>
      <c r="AB242" s="32">
        <f t="shared" si="112"/>
        <v>42735</v>
      </c>
      <c r="AC242" s="51">
        <v>25</v>
      </c>
      <c r="AD242" s="1">
        <f t="shared" si="113"/>
        <v>184</v>
      </c>
      <c r="AE242" s="1">
        <f t="shared" si="114"/>
        <v>0</v>
      </c>
      <c r="AF242" s="1">
        <f t="shared" si="115"/>
        <v>0</v>
      </c>
      <c r="AG242" s="1">
        <f t="shared" si="116"/>
        <v>0</v>
      </c>
      <c r="AH242" s="1">
        <f t="shared" si="117"/>
        <v>0</v>
      </c>
      <c r="AI242" s="23">
        <f t="shared" si="118"/>
        <v>1</v>
      </c>
      <c r="AJ242" s="23">
        <f t="shared" si="119"/>
        <v>1.0801678445229681</v>
      </c>
      <c r="AK242" s="23">
        <f t="shared" si="120"/>
        <v>27.004196113074201</v>
      </c>
      <c r="AL242" s="23">
        <f t="shared" si="121"/>
        <v>67.51049028268551</v>
      </c>
      <c r="AM242" s="23">
        <f t="shared" si="122"/>
        <v>0</v>
      </c>
      <c r="AN242" s="23">
        <f t="shared" si="123"/>
        <v>67.51049028268551</v>
      </c>
      <c r="AQ242" s="32">
        <f t="shared" si="124"/>
        <v>42736</v>
      </c>
      <c r="AR242" s="32">
        <f t="shared" si="125"/>
        <v>42916</v>
      </c>
      <c r="AS242" s="51">
        <v>24</v>
      </c>
      <c r="AT242" s="1">
        <f t="shared" si="126"/>
        <v>181</v>
      </c>
      <c r="AU242" s="1">
        <f t="shared" si="127"/>
        <v>0</v>
      </c>
      <c r="AV242" s="1">
        <f t="shared" si="128"/>
        <v>0</v>
      </c>
      <c r="AW242" s="1">
        <f t="shared" si="129"/>
        <v>0</v>
      </c>
      <c r="AX242" s="1">
        <f t="shared" si="130"/>
        <v>0</v>
      </c>
      <c r="AY242" s="23">
        <f t="shared" si="131"/>
        <v>1</v>
      </c>
      <c r="AZ242" s="23">
        <f t="shared" si="132"/>
        <v>1.0801678445229681</v>
      </c>
      <c r="BA242" s="23">
        <f t="shared" si="133"/>
        <v>25.924028268551233</v>
      </c>
      <c r="BB242" s="23">
        <f t="shared" si="134"/>
        <v>64.810070671378085</v>
      </c>
      <c r="BC242" s="23">
        <f t="shared" si="135"/>
        <v>0</v>
      </c>
      <c r="BD242" s="23">
        <f t="shared" si="136"/>
        <v>64.810070671378085</v>
      </c>
    </row>
    <row r="243" spans="1:56">
      <c r="A243" s="1" t="s">
        <v>20</v>
      </c>
      <c r="B243" s="1" t="s">
        <v>32</v>
      </c>
      <c r="C243" s="1" t="s">
        <v>22</v>
      </c>
      <c r="D243" s="1" t="s">
        <v>33</v>
      </c>
      <c r="E243" s="51" t="s">
        <v>107</v>
      </c>
      <c r="F243" s="51" t="s">
        <v>108</v>
      </c>
      <c r="G243" s="51" t="s">
        <v>109</v>
      </c>
      <c r="H243" s="51" t="s">
        <v>124</v>
      </c>
      <c r="I243" s="1" t="s">
        <v>125</v>
      </c>
      <c r="J243" s="51" t="s">
        <v>112</v>
      </c>
      <c r="K243" s="51" t="s">
        <v>112</v>
      </c>
      <c r="L243" s="51" t="s">
        <v>112</v>
      </c>
      <c r="M243" s="1">
        <v>2035280</v>
      </c>
      <c r="N243" s="51" t="s">
        <v>532</v>
      </c>
      <c r="O243" s="55">
        <f t="shared" si="140"/>
        <v>42534</v>
      </c>
      <c r="P243" s="55">
        <f t="shared" si="143"/>
        <v>43099</v>
      </c>
      <c r="Q243" s="51">
        <v>1200</v>
      </c>
      <c r="S243" s="51">
        <v>2.5</v>
      </c>
      <c r="U243" s="1">
        <f t="shared" si="107"/>
        <v>566</v>
      </c>
      <c r="V243" s="31">
        <f t="shared" si="108"/>
        <v>2.1201413427561837</v>
      </c>
      <c r="W243" s="31">
        <f t="shared" si="109"/>
        <v>773.85159010600705</v>
      </c>
      <c r="X243" s="31">
        <f t="shared" si="110"/>
        <v>0.96731448763250882</v>
      </c>
      <c r="AA243" s="32">
        <f t="shared" si="111"/>
        <v>42552</v>
      </c>
      <c r="AB243" s="32">
        <f t="shared" si="112"/>
        <v>42735</v>
      </c>
      <c r="AC243" s="51">
        <v>28</v>
      </c>
      <c r="AD243" s="1">
        <f t="shared" si="113"/>
        <v>184</v>
      </c>
      <c r="AE243" s="1">
        <f t="shared" si="114"/>
        <v>0</v>
      </c>
      <c r="AF243" s="1">
        <f t="shared" si="115"/>
        <v>0</v>
      </c>
      <c r="AG243" s="1">
        <f t="shared" si="116"/>
        <v>0</v>
      </c>
      <c r="AH243" s="1">
        <f t="shared" si="117"/>
        <v>0</v>
      </c>
      <c r="AI243" s="23">
        <f t="shared" si="118"/>
        <v>1</v>
      </c>
      <c r="AJ243" s="23">
        <f t="shared" si="119"/>
        <v>0.96731448763250882</v>
      </c>
      <c r="AK243" s="23">
        <f t="shared" si="120"/>
        <v>27.084805653710248</v>
      </c>
      <c r="AL243" s="23">
        <f t="shared" si="121"/>
        <v>67.71201413427562</v>
      </c>
      <c r="AM243" s="23">
        <f t="shared" si="122"/>
        <v>0</v>
      </c>
      <c r="AN243" s="23">
        <f t="shared" si="123"/>
        <v>67.71201413427562</v>
      </c>
      <c r="AQ243" s="32">
        <f t="shared" si="124"/>
        <v>42736</v>
      </c>
      <c r="AR243" s="32">
        <f t="shared" si="125"/>
        <v>42916</v>
      </c>
      <c r="AS243" s="51">
        <v>28</v>
      </c>
      <c r="AT243" s="1">
        <f t="shared" si="126"/>
        <v>181</v>
      </c>
      <c r="AU243" s="1">
        <f t="shared" si="127"/>
        <v>0</v>
      </c>
      <c r="AV243" s="1">
        <f t="shared" si="128"/>
        <v>0</v>
      </c>
      <c r="AW243" s="1">
        <f t="shared" si="129"/>
        <v>0</v>
      </c>
      <c r="AX243" s="1">
        <f t="shared" si="130"/>
        <v>0</v>
      </c>
      <c r="AY243" s="23">
        <f t="shared" si="131"/>
        <v>1</v>
      </c>
      <c r="AZ243" s="23">
        <f t="shared" si="132"/>
        <v>0.96731448763250882</v>
      </c>
      <c r="BA243" s="23">
        <f t="shared" si="133"/>
        <v>27.084805653710248</v>
      </c>
      <c r="BB243" s="23">
        <f t="shared" si="134"/>
        <v>67.71201413427562</v>
      </c>
      <c r="BC243" s="23">
        <f t="shared" si="135"/>
        <v>0</v>
      </c>
      <c r="BD243" s="23">
        <f t="shared" si="136"/>
        <v>67.71201413427562</v>
      </c>
    </row>
    <row r="244" spans="1:56">
      <c r="A244" s="1" t="s">
        <v>20</v>
      </c>
      <c r="B244" s="1" t="s">
        <v>32</v>
      </c>
      <c r="C244" s="1" t="s">
        <v>22</v>
      </c>
      <c r="D244" s="1" t="s">
        <v>33</v>
      </c>
      <c r="E244" s="51" t="s">
        <v>107</v>
      </c>
      <c r="F244" s="51" t="s">
        <v>108</v>
      </c>
      <c r="G244" s="51" t="s">
        <v>109</v>
      </c>
      <c r="H244" s="51" t="s">
        <v>290</v>
      </c>
      <c r="I244" s="1" t="s">
        <v>125</v>
      </c>
      <c r="J244" s="51" t="s">
        <v>112</v>
      </c>
      <c r="K244" s="51" t="s">
        <v>112</v>
      </c>
      <c r="L244" s="51" t="s">
        <v>112</v>
      </c>
      <c r="M244" s="1">
        <v>2035282</v>
      </c>
      <c r="N244" s="51" t="s">
        <v>533</v>
      </c>
      <c r="O244" s="55">
        <f t="shared" si="140"/>
        <v>42534</v>
      </c>
      <c r="P244" s="55">
        <f t="shared" si="143"/>
        <v>43099</v>
      </c>
      <c r="Q244" s="51">
        <v>1476</v>
      </c>
      <c r="S244" s="51">
        <v>2.5</v>
      </c>
      <c r="U244" s="1">
        <f t="shared" si="107"/>
        <v>566</v>
      </c>
      <c r="V244" s="31">
        <f t="shared" si="108"/>
        <v>2.6077738515901059</v>
      </c>
      <c r="W244" s="31">
        <f t="shared" si="109"/>
        <v>951.83745583038865</v>
      </c>
      <c r="X244" s="31">
        <f t="shared" si="110"/>
        <v>1.1897968197879858</v>
      </c>
      <c r="AA244" s="32">
        <f t="shared" si="111"/>
        <v>42552</v>
      </c>
      <c r="AB244" s="32">
        <f t="shared" si="112"/>
        <v>42735</v>
      </c>
      <c r="AC244" s="51">
        <v>10</v>
      </c>
      <c r="AD244" s="1">
        <f t="shared" si="113"/>
        <v>184</v>
      </c>
      <c r="AE244" s="1">
        <f t="shared" si="114"/>
        <v>0</v>
      </c>
      <c r="AF244" s="1">
        <f t="shared" si="115"/>
        <v>0</v>
      </c>
      <c r="AG244" s="1">
        <f t="shared" si="116"/>
        <v>0</v>
      </c>
      <c r="AH244" s="1">
        <f t="shared" si="117"/>
        <v>0</v>
      </c>
      <c r="AI244" s="23">
        <f t="shared" si="118"/>
        <v>1</v>
      </c>
      <c r="AJ244" s="23">
        <f t="shared" si="119"/>
        <v>1.1897968197879858</v>
      </c>
      <c r="AK244" s="23">
        <f t="shared" si="120"/>
        <v>11.897968197879859</v>
      </c>
      <c r="AL244" s="23">
        <f t="shared" si="121"/>
        <v>29.744920494699649</v>
      </c>
      <c r="AM244" s="23">
        <f t="shared" si="122"/>
        <v>0</v>
      </c>
      <c r="AN244" s="23">
        <f t="shared" si="123"/>
        <v>29.744920494699649</v>
      </c>
      <c r="AQ244" s="32">
        <f t="shared" si="124"/>
        <v>42736</v>
      </c>
      <c r="AR244" s="32">
        <f t="shared" si="125"/>
        <v>42916</v>
      </c>
      <c r="AS244" s="51">
        <v>10</v>
      </c>
      <c r="AT244" s="1">
        <f t="shared" si="126"/>
        <v>181</v>
      </c>
      <c r="AU244" s="1">
        <f t="shared" si="127"/>
        <v>0</v>
      </c>
      <c r="AV244" s="1">
        <f t="shared" si="128"/>
        <v>0</v>
      </c>
      <c r="AW244" s="1">
        <f t="shared" si="129"/>
        <v>0</v>
      </c>
      <c r="AX244" s="1">
        <f t="shared" si="130"/>
        <v>0</v>
      </c>
      <c r="AY244" s="23">
        <f t="shared" si="131"/>
        <v>1</v>
      </c>
      <c r="AZ244" s="23">
        <f t="shared" si="132"/>
        <v>1.1897968197879858</v>
      </c>
      <c r="BA244" s="23">
        <f t="shared" si="133"/>
        <v>11.897968197879859</v>
      </c>
      <c r="BB244" s="23">
        <f t="shared" si="134"/>
        <v>29.744920494699649</v>
      </c>
      <c r="BC244" s="23">
        <f t="shared" si="135"/>
        <v>0</v>
      </c>
      <c r="BD244" s="23">
        <f t="shared" si="136"/>
        <v>29.744920494699649</v>
      </c>
    </row>
    <row r="245" spans="1:56">
      <c r="A245" s="1" t="s">
        <v>20</v>
      </c>
      <c r="B245" s="1" t="s">
        <v>32</v>
      </c>
      <c r="C245" s="1" t="s">
        <v>22</v>
      </c>
      <c r="D245" s="1" t="s">
        <v>33</v>
      </c>
      <c r="E245" s="51" t="s">
        <v>107</v>
      </c>
      <c r="F245" s="51" t="s">
        <v>108</v>
      </c>
      <c r="G245" s="51" t="s">
        <v>109</v>
      </c>
      <c r="H245" s="51" t="s">
        <v>213</v>
      </c>
      <c r="I245" s="1" t="s">
        <v>214</v>
      </c>
      <c r="J245" s="51" t="s">
        <v>112</v>
      </c>
      <c r="K245" s="51" t="s">
        <v>112</v>
      </c>
      <c r="L245" s="51" t="s">
        <v>112</v>
      </c>
      <c r="M245" s="1">
        <v>2035283</v>
      </c>
      <c r="N245" s="51" t="s">
        <v>534</v>
      </c>
      <c r="O245" s="55">
        <f t="shared" si="140"/>
        <v>42534</v>
      </c>
      <c r="P245" s="55">
        <f t="shared" si="143"/>
        <v>43099</v>
      </c>
      <c r="Q245" s="51">
        <v>950</v>
      </c>
      <c r="S245" s="51">
        <v>1.5</v>
      </c>
      <c r="U245" s="1">
        <f t="shared" si="107"/>
        <v>566</v>
      </c>
      <c r="V245" s="31">
        <f t="shared" si="108"/>
        <v>1.6784452296819787</v>
      </c>
      <c r="W245" s="31">
        <f t="shared" si="109"/>
        <v>612.6325088339222</v>
      </c>
      <c r="X245" s="31">
        <f t="shared" si="110"/>
        <v>0.76579063604240272</v>
      </c>
      <c r="AA245" s="32">
        <f t="shared" si="111"/>
        <v>42552</v>
      </c>
      <c r="AB245" s="32">
        <f t="shared" si="112"/>
        <v>42735</v>
      </c>
      <c r="AC245" s="51">
        <v>64</v>
      </c>
      <c r="AD245" s="1">
        <f t="shared" si="113"/>
        <v>184</v>
      </c>
      <c r="AE245" s="1">
        <f t="shared" si="114"/>
        <v>0</v>
      </c>
      <c r="AF245" s="1">
        <f t="shared" si="115"/>
        <v>0</v>
      </c>
      <c r="AG245" s="1">
        <f t="shared" si="116"/>
        <v>0</v>
      </c>
      <c r="AH245" s="1">
        <f t="shared" si="117"/>
        <v>0</v>
      </c>
      <c r="AI245" s="23">
        <f t="shared" si="118"/>
        <v>1</v>
      </c>
      <c r="AJ245" s="23">
        <f t="shared" si="119"/>
        <v>0.76579063604240272</v>
      </c>
      <c r="AK245" s="23">
        <f t="shared" si="120"/>
        <v>49.010600706713774</v>
      </c>
      <c r="AL245" s="23">
        <f t="shared" si="121"/>
        <v>73.515901060070661</v>
      </c>
      <c r="AM245" s="23">
        <f t="shared" si="122"/>
        <v>0</v>
      </c>
      <c r="AN245" s="23">
        <f t="shared" si="123"/>
        <v>73.515901060070661</v>
      </c>
      <c r="AQ245" s="32">
        <f t="shared" si="124"/>
        <v>42736</v>
      </c>
      <c r="AR245" s="32">
        <f t="shared" si="125"/>
        <v>42916</v>
      </c>
      <c r="AS245" s="51">
        <v>63</v>
      </c>
      <c r="AT245" s="1">
        <f t="shared" si="126"/>
        <v>181</v>
      </c>
      <c r="AU245" s="1">
        <f t="shared" si="127"/>
        <v>0</v>
      </c>
      <c r="AV245" s="1">
        <f t="shared" si="128"/>
        <v>0</v>
      </c>
      <c r="AW245" s="1">
        <f t="shared" si="129"/>
        <v>0</v>
      </c>
      <c r="AX245" s="1">
        <f t="shared" si="130"/>
        <v>0</v>
      </c>
      <c r="AY245" s="23">
        <f t="shared" si="131"/>
        <v>1</v>
      </c>
      <c r="AZ245" s="23">
        <f t="shared" si="132"/>
        <v>0.76579063604240272</v>
      </c>
      <c r="BA245" s="23">
        <f t="shared" si="133"/>
        <v>48.24481007067137</v>
      </c>
      <c r="BB245" s="23">
        <f t="shared" si="134"/>
        <v>72.367215106007052</v>
      </c>
      <c r="BC245" s="23">
        <f t="shared" si="135"/>
        <v>0</v>
      </c>
      <c r="BD245" s="23">
        <f t="shared" si="136"/>
        <v>72.367215106007052</v>
      </c>
    </row>
    <row r="246" spans="1:56">
      <c r="A246" s="1" t="s">
        <v>20</v>
      </c>
      <c r="B246" s="1" t="s">
        <v>32</v>
      </c>
      <c r="C246" s="1" t="s">
        <v>22</v>
      </c>
      <c r="D246" s="1" t="s">
        <v>33</v>
      </c>
      <c r="E246" s="51" t="s">
        <v>107</v>
      </c>
      <c r="F246" s="51" t="s">
        <v>108</v>
      </c>
      <c r="G246" s="51" t="s">
        <v>109</v>
      </c>
      <c r="H246" s="51" t="s">
        <v>351</v>
      </c>
      <c r="I246" s="1" t="s">
        <v>125</v>
      </c>
      <c r="J246" s="51" t="s">
        <v>112</v>
      </c>
      <c r="K246" s="51" t="s">
        <v>112</v>
      </c>
      <c r="L246" s="51" t="s">
        <v>112</v>
      </c>
      <c r="M246" s="1">
        <v>2035284</v>
      </c>
      <c r="N246" s="51" t="s">
        <v>535</v>
      </c>
      <c r="O246" s="55">
        <f t="shared" si="140"/>
        <v>42534</v>
      </c>
      <c r="P246" s="55">
        <f t="shared" si="143"/>
        <v>43099</v>
      </c>
      <c r="Q246" s="51">
        <v>1360</v>
      </c>
      <c r="S246" s="51">
        <v>2</v>
      </c>
      <c r="U246" s="1">
        <f t="shared" si="107"/>
        <v>566</v>
      </c>
      <c r="V246" s="31">
        <f t="shared" si="108"/>
        <v>2.4028268551236751</v>
      </c>
      <c r="W246" s="31">
        <f t="shared" si="109"/>
        <v>877.03180212014138</v>
      </c>
      <c r="X246" s="31">
        <f t="shared" si="110"/>
        <v>1.0962897526501767</v>
      </c>
      <c r="AA246" s="32">
        <f t="shared" si="111"/>
        <v>42552</v>
      </c>
      <c r="AB246" s="32">
        <f t="shared" si="112"/>
        <v>42735</v>
      </c>
      <c r="AC246" s="51">
        <v>27</v>
      </c>
      <c r="AD246" s="1">
        <f t="shared" si="113"/>
        <v>184</v>
      </c>
      <c r="AE246" s="1">
        <f t="shared" si="114"/>
        <v>0</v>
      </c>
      <c r="AF246" s="1">
        <f t="shared" si="115"/>
        <v>0</v>
      </c>
      <c r="AG246" s="1">
        <f t="shared" si="116"/>
        <v>0</v>
      </c>
      <c r="AH246" s="1">
        <f t="shared" si="117"/>
        <v>0</v>
      </c>
      <c r="AI246" s="23">
        <f t="shared" si="118"/>
        <v>1</v>
      </c>
      <c r="AJ246" s="23">
        <f t="shared" si="119"/>
        <v>1.0962897526501767</v>
      </c>
      <c r="AK246" s="23">
        <f t="shared" si="120"/>
        <v>29.599823321554769</v>
      </c>
      <c r="AL246" s="23">
        <f t="shared" si="121"/>
        <v>59.199646643109539</v>
      </c>
      <c r="AM246" s="23">
        <f t="shared" si="122"/>
        <v>0</v>
      </c>
      <c r="AN246" s="23">
        <f t="shared" si="123"/>
        <v>59.199646643109539</v>
      </c>
      <c r="AQ246" s="32">
        <f t="shared" si="124"/>
        <v>42736</v>
      </c>
      <c r="AR246" s="32">
        <f t="shared" si="125"/>
        <v>42916</v>
      </c>
      <c r="AS246" s="51">
        <v>27</v>
      </c>
      <c r="AT246" s="1">
        <f t="shared" si="126"/>
        <v>181</v>
      </c>
      <c r="AU246" s="1">
        <f t="shared" si="127"/>
        <v>0</v>
      </c>
      <c r="AV246" s="1">
        <f t="shared" si="128"/>
        <v>0</v>
      </c>
      <c r="AW246" s="1">
        <f t="shared" si="129"/>
        <v>0</v>
      </c>
      <c r="AX246" s="1">
        <f t="shared" si="130"/>
        <v>0</v>
      </c>
      <c r="AY246" s="23">
        <f t="shared" si="131"/>
        <v>1</v>
      </c>
      <c r="AZ246" s="23">
        <f t="shared" si="132"/>
        <v>1.0962897526501767</v>
      </c>
      <c r="BA246" s="23">
        <f t="shared" si="133"/>
        <v>29.599823321554769</v>
      </c>
      <c r="BB246" s="23">
        <f t="shared" si="134"/>
        <v>59.199646643109539</v>
      </c>
      <c r="BC246" s="23">
        <f t="shared" si="135"/>
        <v>0</v>
      </c>
      <c r="BD246" s="23">
        <f t="shared" si="136"/>
        <v>59.199646643109539</v>
      </c>
    </row>
    <row r="247" spans="1:56">
      <c r="A247" s="1" t="s">
        <v>20</v>
      </c>
      <c r="B247" s="1" t="s">
        <v>32</v>
      </c>
      <c r="C247" s="1" t="s">
        <v>22</v>
      </c>
      <c r="D247" s="1" t="s">
        <v>33</v>
      </c>
      <c r="E247" s="51" t="s">
        <v>107</v>
      </c>
      <c r="F247" s="51" t="s">
        <v>108</v>
      </c>
      <c r="G247" s="51" t="s">
        <v>109</v>
      </c>
      <c r="H247" s="51" t="s">
        <v>175</v>
      </c>
      <c r="I247" s="1" t="s">
        <v>147</v>
      </c>
      <c r="J247" s="51" t="s">
        <v>148</v>
      </c>
      <c r="K247" s="51" t="s">
        <v>112</v>
      </c>
      <c r="L247" s="51" t="s">
        <v>112</v>
      </c>
      <c r="M247" s="1">
        <v>2035285</v>
      </c>
      <c r="N247" s="51" t="s">
        <v>536</v>
      </c>
      <c r="O247" s="55">
        <f t="shared" si="140"/>
        <v>42534</v>
      </c>
      <c r="P247" s="55">
        <f t="shared" si="143"/>
        <v>43099</v>
      </c>
      <c r="Q247" s="51">
        <v>1255</v>
      </c>
      <c r="S247" s="51">
        <v>2.5</v>
      </c>
      <c r="U247" s="1">
        <f t="shared" si="107"/>
        <v>566</v>
      </c>
      <c r="V247" s="31">
        <f t="shared" si="108"/>
        <v>2.217314487632509</v>
      </c>
      <c r="W247" s="31">
        <f t="shared" si="109"/>
        <v>809.31978798586579</v>
      </c>
      <c r="X247" s="31">
        <f t="shared" si="110"/>
        <v>1.0116497349823321</v>
      </c>
      <c r="AA247" s="32">
        <f t="shared" si="111"/>
        <v>42552</v>
      </c>
      <c r="AB247" s="32">
        <f t="shared" si="112"/>
        <v>42735</v>
      </c>
      <c r="AC247" s="51">
        <v>19</v>
      </c>
      <c r="AD247" s="1">
        <f t="shared" si="113"/>
        <v>184</v>
      </c>
      <c r="AE247" s="1">
        <f t="shared" si="114"/>
        <v>0</v>
      </c>
      <c r="AF247" s="1">
        <f t="shared" si="115"/>
        <v>0</v>
      </c>
      <c r="AG247" s="1">
        <f t="shared" si="116"/>
        <v>0</v>
      </c>
      <c r="AH247" s="1">
        <f t="shared" si="117"/>
        <v>0</v>
      </c>
      <c r="AI247" s="23">
        <f t="shared" si="118"/>
        <v>1</v>
      </c>
      <c r="AJ247" s="23">
        <f t="shared" si="119"/>
        <v>1.0116497349823321</v>
      </c>
      <c r="AK247" s="23">
        <f t="shared" si="120"/>
        <v>19.221344964664311</v>
      </c>
      <c r="AL247" s="23">
        <f t="shared" si="121"/>
        <v>48.053362411660778</v>
      </c>
      <c r="AM247" s="23">
        <f t="shared" si="122"/>
        <v>24.026681205830389</v>
      </c>
      <c r="AN247" s="23">
        <f t="shared" si="123"/>
        <v>72.080043617491171</v>
      </c>
      <c r="AQ247" s="32">
        <f t="shared" si="124"/>
        <v>42736</v>
      </c>
      <c r="AR247" s="32">
        <f t="shared" si="125"/>
        <v>42916</v>
      </c>
      <c r="AS247" s="51">
        <v>19</v>
      </c>
      <c r="AT247" s="1">
        <f t="shared" si="126"/>
        <v>181</v>
      </c>
      <c r="AU247" s="1">
        <f t="shared" si="127"/>
        <v>0</v>
      </c>
      <c r="AV247" s="1">
        <f t="shared" si="128"/>
        <v>0</v>
      </c>
      <c r="AW247" s="1">
        <f t="shared" si="129"/>
        <v>0</v>
      </c>
      <c r="AX247" s="1">
        <f t="shared" si="130"/>
        <v>0</v>
      </c>
      <c r="AY247" s="23">
        <f t="shared" si="131"/>
        <v>1</v>
      </c>
      <c r="AZ247" s="23">
        <f t="shared" si="132"/>
        <v>1.0116497349823321</v>
      </c>
      <c r="BA247" s="23">
        <f t="shared" si="133"/>
        <v>19.221344964664311</v>
      </c>
      <c r="BB247" s="23">
        <f t="shared" si="134"/>
        <v>48.053362411660778</v>
      </c>
      <c r="BC247" s="23">
        <f t="shared" si="135"/>
        <v>24.026681205830389</v>
      </c>
      <c r="BD247" s="23">
        <f t="shared" si="136"/>
        <v>72.080043617491171</v>
      </c>
    </row>
    <row r="248" spans="1:56">
      <c r="A248" s="1" t="s">
        <v>20</v>
      </c>
      <c r="B248" s="1" t="s">
        <v>32</v>
      </c>
      <c r="C248" s="1" t="s">
        <v>22</v>
      </c>
      <c r="D248" s="1" t="s">
        <v>33</v>
      </c>
      <c r="E248" s="51" t="s">
        <v>107</v>
      </c>
      <c r="F248" s="51" t="s">
        <v>108</v>
      </c>
      <c r="G248" s="51" t="s">
        <v>109</v>
      </c>
      <c r="H248" s="51" t="s">
        <v>179</v>
      </c>
      <c r="I248" s="1" t="s">
        <v>125</v>
      </c>
      <c r="J248" s="51" t="s">
        <v>112</v>
      </c>
      <c r="K248" s="51" t="s">
        <v>112</v>
      </c>
      <c r="L248" s="51" t="s">
        <v>112</v>
      </c>
      <c r="M248" s="1">
        <v>2035286</v>
      </c>
      <c r="N248" s="51" t="s">
        <v>537</v>
      </c>
      <c r="O248" s="55">
        <f t="shared" si="140"/>
        <v>42534</v>
      </c>
      <c r="P248" s="55">
        <f t="shared" si="143"/>
        <v>43099</v>
      </c>
      <c r="Q248" s="51">
        <v>1200</v>
      </c>
      <c r="S248" s="51">
        <v>2</v>
      </c>
      <c r="U248" s="1">
        <f t="shared" si="107"/>
        <v>566</v>
      </c>
      <c r="V248" s="31">
        <f t="shared" si="108"/>
        <v>2.1201413427561837</v>
      </c>
      <c r="W248" s="31">
        <f t="shared" si="109"/>
        <v>773.85159010600705</v>
      </c>
      <c r="X248" s="31">
        <f t="shared" si="110"/>
        <v>0.96731448763250882</v>
      </c>
      <c r="AA248" s="32">
        <f t="shared" si="111"/>
        <v>42552</v>
      </c>
      <c r="AB248" s="32">
        <f t="shared" si="112"/>
        <v>42735</v>
      </c>
      <c r="AC248" s="51">
        <v>24</v>
      </c>
      <c r="AD248" s="1">
        <f t="shared" si="113"/>
        <v>184</v>
      </c>
      <c r="AE248" s="1">
        <f t="shared" si="114"/>
        <v>0</v>
      </c>
      <c r="AF248" s="1">
        <f t="shared" si="115"/>
        <v>0</v>
      </c>
      <c r="AG248" s="1">
        <f t="shared" si="116"/>
        <v>0</v>
      </c>
      <c r="AH248" s="1">
        <f t="shared" si="117"/>
        <v>0</v>
      </c>
      <c r="AI248" s="23">
        <f t="shared" si="118"/>
        <v>1</v>
      </c>
      <c r="AJ248" s="23">
        <f t="shared" si="119"/>
        <v>0.96731448763250882</v>
      </c>
      <c r="AK248" s="23">
        <f t="shared" si="120"/>
        <v>23.215547703180214</v>
      </c>
      <c r="AL248" s="23">
        <f t="shared" si="121"/>
        <v>46.431095406360427</v>
      </c>
      <c r="AM248" s="23">
        <f t="shared" si="122"/>
        <v>0</v>
      </c>
      <c r="AN248" s="23">
        <f t="shared" si="123"/>
        <v>46.431095406360427</v>
      </c>
      <c r="AQ248" s="32">
        <f t="shared" si="124"/>
        <v>42736</v>
      </c>
      <c r="AR248" s="32">
        <f t="shared" si="125"/>
        <v>42916</v>
      </c>
      <c r="AS248" s="51">
        <v>24</v>
      </c>
      <c r="AT248" s="1">
        <f t="shared" si="126"/>
        <v>181</v>
      </c>
      <c r="AU248" s="1">
        <f t="shared" si="127"/>
        <v>0</v>
      </c>
      <c r="AV248" s="1">
        <f t="shared" si="128"/>
        <v>0</v>
      </c>
      <c r="AW248" s="1">
        <f t="shared" si="129"/>
        <v>0</v>
      </c>
      <c r="AX248" s="1">
        <f t="shared" si="130"/>
        <v>0</v>
      </c>
      <c r="AY248" s="23">
        <f t="shared" si="131"/>
        <v>1</v>
      </c>
      <c r="AZ248" s="23">
        <f t="shared" si="132"/>
        <v>0.96731448763250882</v>
      </c>
      <c r="BA248" s="23">
        <f t="shared" si="133"/>
        <v>23.215547703180214</v>
      </c>
      <c r="BB248" s="23">
        <f t="shared" si="134"/>
        <v>46.431095406360427</v>
      </c>
      <c r="BC248" s="23">
        <f t="shared" si="135"/>
        <v>0</v>
      </c>
      <c r="BD248" s="23">
        <f t="shared" si="136"/>
        <v>46.431095406360427</v>
      </c>
    </row>
    <row r="249" spans="1:56">
      <c r="A249" s="1" t="s">
        <v>20</v>
      </c>
      <c r="B249" s="1" t="s">
        <v>32</v>
      </c>
      <c r="C249" s="1" t="s">
        <v>22</v>
      </c>
      <c r="D249" s="1" t="s">
        <v>33</v>
      </c>
      <c r="E249" s="51" t="s">
        <v>107</v>
      </c>
      <c r="F249" s="51" t="s">
        <v>108</v>
      </c>
      <c r="G249" s="51" t="s">
        <v>109</v>
      </c>
      <c r="H249" s="51" t="s">
        <v>277</v>
      </c>
      <c r="I249" s="1" t="s">
        <v>278</v>
      </c>
      <c r="J249" s="51" t="s">
        <v>112</v>
      </c>
      <c r="K249" s="51" t="s">
        <v>112</v>
      </c>
      <c r="L249" s="51" t="s">
        <v>112</v>
      </c>
      <c r="M249" s="1">
        <v>2035289</v>
      </c>
      <c r="N249" s="51" t="s">
        <v>538</v>
      </c>
      <c r="O249" s="55">
        <f t="shared" si="140"/>
        <v>42534</v>
      </c>
      <c r="P249" s="55">
        <f t="shared" si="143"/>
        <v>43099</v>
      </c>
      <c r="Q249" s="51">
        <v>1000</v>
      </c>
      <c r="S249" s="51">
        <v>1.5</v>
      </c>
      <c r="U249" s="1">
        <f t="shared" si="107"/>
        <v>566</v>
      </c>
      <c r="V249" s="31">
        <f t="shared" si="108"/>
        <v>1.7667844522968197</v>
      </c>
      <c r="W249" s="31">
        <f t="shared" si="109"/>
        <v>644.87632508833917</v>
      </c>
      <c r="X249" s="31">
        <f t="shared" si="110"/>
        <v>0.80609540636042398</v>
      </c>
      <c r="AA249" s="32">
        <f t="shared" si="111"/>
        <v>42552</v>
      </c>
      <c r="AB249" s="32">
        <f t="shared" si="112"/>
        <v>42735</v>
      </c>
      <c r="AC249" s="51">
        <v>29</v>
      </c>
      <c r="AD249" s="1">
        <f t="shared" si="113"/>
        <v>184</v>
      </c>
      <c r="AE249" s="1">
        <f t="shared" si="114"/>
        <v>0</v>
      </c>
      <c r="AF249" s="1">
        <f t="shared" si="115"/>
        <v>0</v>
      </c>
      <c r="AG249" s="1">
        <f t="shared" si="116"/>
        <v>0</v>
      </c>
      <c r="AH249" s="1">
        <f t="shared" si="117"/>
        <v>0</v>
      </c>
      <c r="AI249" s="23">
        <f t="shared" si="118"/>
        <v>1</v>
      </c>
      <c r="AJ249" s="23">
        <f t="shared" si="119"/>
        <v>0.80609540636042398</v>
      </c>
      <c r="AK249" s="23">
        <f t="shared" si="120"/>
        <v>23.376766784452297</v>
      </c>
      <c r="AL249" s="23">
        <f t="shared" si="121"/>
        <v>35.065150176678443</v>
      </c>
      <c r="AM249" s="23">
        <f t="shared" si="122"/>
        <v>0</v>
      </c>
      <c r="AN249" s="23">
        <f t="shared" si="123"/>
        <v>35.065150176678443</v>
      </c>
      <c r="AQ249" s="32">
        <f t="shared" si="124"/>
        <v>42736</v>
      </c>
      <c r="AR249" s="32">
        <f t="shared" si="125"/>
        <v>42916</v>
      </c>
      <c r="AS249" s="51">
        <v>29</v>
      </c>
      <c r="AT249" s="1">
        <f t="shared" si="126"/>
        <v>181</v>
      </c>
      <c r="AU249" s="1">
        <f t="shared" si="127"/>
        <v>0</v>
      </c>
      <c r="AV249" s="1">
        <f t="shared" si="128"/>
        <v>0</v>
      </c>
      <c r="AW249" s="1">
        <f t="shared" si="129"/>
        <v>0</v>
      </c>
      <c r="AX249" s="1">
        <f t="shared" si="130"/>
        <v>0</v>
      </c>
      <c r="AY249" s="23">
        <f t="shared" si="131"/>
        <v>1</v>
      </c>
      <c r="AZ249" s="23">
        <f t="shared" si="132"/>
        <v>0.80609540636042398</v>
      </c>
      <c r="BA249" s="23">
        <f t="shared" si="133"/>
        <v>23.376766784452297</v>
      </c>
      <c r="BB249" s="23">
        <f t="shared" si="134"/>
        <v>35.065150176678443</v>
      </c>
      <c r="BC249" s="23">
        <f t="shared" si="135"/>
        <v>0</v>
      </c>
      <c r="BD249" s="23">
        <f t="shared" si="136"/>
        <v>35.065150176678443</v>
      </c>
    </row>
    <row r="250" spans="1:56">
      <c r="A250" s="1" t="s">
        <v>20</v>
      </c>
      <c r="B250" s="1" t="s">
        <v>32</v>
      </c>
      <c r="C250" s="1" t="s">
        <v>22</v>
      </c>
      <c r="D250" s="1" t="s">
        <v>33</v>
      </c>
      <c r="E250" s="51" t="s">
        <v>107</v>
      </c>
      <c r="F250" s="51" t="s">
        <v>108</v>
      </c>
      <c r="G250" s="51" t="s">
        <v>109</v>
      </c>
      <c r="H250" s="51" t="s">
        <v>275</v>
      </c>
      <c r="I250" s="1" t="s">
        <v>128</v>
      </c>
      <c r="J250" s="51" t="s">
        <v>112</v>
      </c>
      <c r="K250" s="51" t="s">
        <v>112</v>
      </c>
      <c r="L250" s="51" t="s">
        <v>112</v>
      </c>
      <c r="M250" s="1">
        <v>2035291</v>
      </c>
      <c r="N250" s="52" t="s">
        <v>539</v>
      </c>
      <c r="O250" s="55">
        <f>DATE(2016,6,30)</f>
        <v>42551</v>
      </c>
      <c r="P250" s="55">
        <f>DATE(2020,6,30)</f>
        <v>44012</v>
      </c>
      <c r="Q250" s="51">
        <v>3270</v>
      </c>
      <c r="S250" s="51">
        <v>2.5</v>
      </c>
      <c r="U250" s="1">
        <f t="shared" si="107"/>
        <v>1462</v>
      </c>
      <c r="V250" s="31">
        <f t="shared" si="108"/>
        <v>2.2366621067031462</v>
      </c>
      <c r="W250" s="31">
        <f t="shared" si="109"/>
        <v>816.38166894664835</v>
      </c>
      <c r="X250" s="31">
        <f t="shared" si="110"/>
        <v>1.0204770861833103</v>
      </c>
      <c r="AA250" s="32">
        <f t="shared" si="111"/>
        <v>42552</v>
      </c>
      <c r="AB250" s="32">
        <f t="shared" si="112"/>
        <v>42735</v>
      </c>
      <c r="AC250" s="52">
        <v>35</v>
      </c>
      <c r="AD250" s="1">
        <f t="shared" si="113"/>
        <v>184</v>
      </c>
      <c r="AE250" s="1">
        <f t="shared" si="114"/>
        <v>0</v>
      </c>
      <c r="AF250" s="1">
        <f t="shared" si="115"/>
        <v>0</v>
      </c>
      <c r="AG250" s="1">
        <f t="shared" si="116"/>
        <v>0</v>
      </c>
      <c r="AH250" s="1">
        <f t="shared" si="117"/>
        <v>0</v>
      </c>
      <c r="AI250" s="23">
        <f t="shared" si="118"/>
        <v>1</v>
      </c>
      <c r="AJ250" s="23">
        <f t="shared" si="119"/>
        <v>1.0204770861833103</v>
      </c>
      <c r="AK250" s="23">
        <f t="shared" si="120"/>
        <v>35.716698016415862</v>
      </c>
      <c r="AL250" s="23">
        <f t="shared" si="121"/>
        <v>89.291745041039661</v>
      </c>
      <c r="AM250" s="23">
        <f t="shared" si="122"/>
        <v>0</v>
      </c>
      <c r="AN250" s="23">
        <f t="shared" si="123"/>
        <v>89.291745041039661</v>
      </c>
      <c r="AQ250" s="32">
        <f t="shared" si="124"/>
        <v>42736</v>
      </c>
      <c r="AR250" s="32">
        <f t="shared" si="125"/>
        <v>42916</v>
      </c>
      <c r="AS250" s="52">
        <v>35</v>
      </c>
      <c r="AT250" s="1">
        <f t="shared" si="126"/>
        <v>181</v>
      </c>
      <c r="AU250" s="1">
        <f t="shared" si="127"/>
        <v>0</v>
      </c>
      <c r="AV250" s="1">
        <f t="shared" si="128"/>
        <v>0</v>
      </c>
      <c r="AW250" s="1">
        <f t="shared" si="129"/>
        <v>0</v>
      </c>
      <c r="AX250" s="1">
        <f t="shared" si="130"/>
        <v>0</v>
      </c>
      <c r="AY250" s="23">
        <f t="shared" si="131"/>
        <v>1</v>
      </c>
      <c r="AZ250" s="23">
        <f t="shared" si="132"/>
        <v>1.0204770861833103</v>
      </c>
      <c r="BA250" s="23">
        <f t="shared" si="133"/>
        <v>35.716698016415862</v>
      </c>
      <c r="BB250" s="23">
        <f t="shared" si="134"/>
        <v>89.291745041039661</v>
      </c>
      <c r="BC250" s="23">
        <f t="shared" si="135"/>
        <v>0</v>
      </c>
      <c r="BD250" s="23">
        <f t="shared" si="136"/>
        <v>89.291745041039661</v>
      </c>
    </row>
    <row r="251" spans="1:56">
      <c r="A251" s="1" t="s">
        <v>20</v>
      </c>
      <c r="B251" s="1" t="s">
        <v>32</v>
      </c>
      <c r="C251" s="1" t="s">
        <v>22</v>
      </c>
      <c r="D251" s="1" t="s">
        <v>33</v>
      </c>
      <c r="E251" s="51" t="s">
        <v>107</v>
      </c>
      <c r="F251" s="51" t="s">
        <v>265</v>
      </c>
      <c r="G251" s="51" t="s">
        <v>109</v>
      </c>
      <c r="H251" s="51" t="s">
        <v>266</v>
      </c>
      <c r="I251" s="1" t="s">
        <v>111</v>
      </c>
      <c r="J251" s="51" t="s">
        <v>112</v>
      </c>
      <c r="K251" s="51" t="s">
        <v>112</v>
      </c>
      <c r="L251" s="51" t="s">
        <v>112</v>
      </c>
      <c r="M251" s="1">
        <v>2036578</v>
      </c>
      <c r="N251" s="52" t="s">
        <v>540</v>
      </c>
      <c r="O251" s="55">
        <f t="shared" ref="O251:O264" si="144">DATE(2016,6,13)</f>
        <v>42534</v>
      </c>
      <c r="P251" s="55">
        <f>DATE(2021,6,30)</f>
        <v>44377</v>
      </c>
      <c r="Q251" s="51">
        <v>3660</v>
      </c>
      <c r="S251" s="51">
        <v>2.5</v>
      </c>
      <c r="U251" s="1">
        <f t="shared" si="107"/>
        <v>1844</v>
      </c>
      <c r="V251" s="31">
        <f t="shared" si="108"/>
        <v>1.9848156182212582</v>
      </c>
      <c r="W251" s="31">
        <f t="shared" si="109"/>
        <v>724.45770065075919</v>
      </c>
      <c r="X251" s="31">
        <f t="shared" si="110"/>
        <v>0.90557212581344904</v>
      </c>
      <c r="AA251" s="32">
        <f t="shared" si="111"/>
        <v>42552</v>
      </c>
      <c r="AB251" s="32">
        <f t="shared" si="112"/>
        <v>42735</v>
      </c>
      <c r="AC251" s="52">
        <v>27</v>
      </c>
      <c r="AD251" s="1">
        <f t="shared" si="113"/>
        <v>184</v>
      </c>
      <c r="AE251" s="1">
        <f t="shared" si="114"/>
        <v>0</v>
      </c>
      <c r="AF251" s="1">
        <f t="shared" si="115"/>
        <v>0</v>
      </c>
      <c r="AG251" s="1">
        <f t="shared" si="116"/>
        <v>0</v>
      </c>
      <c r="AH251" s="1">
        <f t="shared" si="117"/>
        <v>0</v>
      </c>
      <c r="AI251" s="23">
        <f t="shared" si="118"/>
        <v>1</v>
      </c>
      <c r="AJ251" s="23">
        <f t="shared" si="119"/>
        <v>0.90557212581344904</v>
      </c>
      <c r="AK251" s="23">
        <f t="shared" si="120"/>
        <v>24.450447396963124</v>
      </c>
      <c r="AL251" s="23">
        <f t="shared" si="121"/>
        <v>61.126118492407812</v>
      </c>
      <c r="AM251" s="23">
        <f t="shared" si="122"/>
        <v>0</v>
      </c>
      <c r="AN251" s="23">
        <f t="shared" si="123"/>
        <v>61.126118492407812</v>
      </c>
      <c r="AQ251" s="32">
        <f t="shared" si="124"/>
        <v>42736</v>
      </c>
      <c r="AR251" s="32">
        <f t="shared" si="125"/>
        <v>42916</v>
      </c>
      <c r="AS251" s="52">
        <v>27</v>
      </c>
      <c r="AT251" s="1">
        <f t="shared" si="126"/>
        <v>181</v>
      </c>
      <c r="AU251" s="1">
        <f t="shared" si="127"/>
        <v>0</v>
      </c>
      <c r="AV251" s="1">
        <f t="shared" si="128"/>
        <v>0</v>
      </c>
      <c r="AW251" s="1">
        <f t="shared" si="129"/>
        <v>0</v>
      </c>
      <c r="AX251" s="1">
        <f t="shared" si="130"/>
        <v>0</v>
      </c>
      <c r="AY251" s="23">
        <f t="shared" si="131"/>
        <v>1</v>
      </c>
      <c r="AZ251" s="23">
        <f t="shared" si="132"/>
        <v>0.90557212581344904</v>
      </c>
      <c r="BA251" s="23">
        <f t="shared" si="133"/>
        <v>24.450447396963124</v>
      </c>
      <c r="BB251" s="23">
        <f t="shared" si="134"/>
        <v>61.126118492407812</v>
      </c>
      <c r="BC251" s="23">
        <f t="shared" si="135"/>
        <v>0</v>
      </c>
      <c r="BD251" s="23">
        <f t="shared" si="136"/>
        <v>61.126118492407812</v>
      </c>
    </row>
    <row r="252" spans="1:56">
      <c r="A252" s="1" t="s">
        <v>20</v>
      </c>
      <c r="B252" s="1" t="s">
        <v>32</v>
      </c>
      <c r="C252" s="1" t="s">
        <v>22</v>
      </c>
      <c r="D252" s="1" t="s">
        <v>33</v>
      </c>
      <c r="E252" s="51" t="s">
        <v>107</v>
      </c>
      <c r="F252" s="51" t="s">
        <v>265</v>
      </c>
      <c r="G252" s="51" t="s">
        <v>109</v>
      </c>
      <c r="H252" s="51" t="s">
        <v>269</v>
      </c>
      <c r="I252" s="1" t="s">
        <v>125</v>
      </c>
      <c r="J252" s="51" t="s">
        <v>112</v>
      </c>
      <c r="K252" s="51" t="s">
        <v>112</v>
      </c>
      <c r="L252" s="51" t="s">
        <v>112</v>
      </c>
      <c r="M252" s="1">
        <v>2036585</v>
      </c>
      <c r="N252" s="52" t="s">
        <v>541</v>
      </c>
      <c r="O252" s="55">
        <f t="shared" si="144"/>
        <v>42534</v>
      </c>
      <c r="P252" s="55">
        <f>DATE(2020,12,30)</f>
        <v>44195</v>
      </c>
      <c r="Q252" s="51">
        <v>3980</v>
      </c>
      <c r="S252" s="51">
        <v>2.5</v>
      </c>
      <c r="U252" s="1">
        <f t="shared" si="107"/>
        <v>1662</v>
      </c>
      <c r="V252" s="31">
        <f t="shared" si="108"/>
        <v>2.3947051744885681</v>
      </c>
      <c r="W252" s="31">
        <f t="shared" si="109"/>
        <v>874.06738868832736</v>
      </c>
      <c r="X252" s="31">
        <f t="shared" si="110"/>
        <v>1.0925842358604092</v>
      </c>
      <c r="AA252" s="32">
        <f t="shared" si="111"/>
        <v>42552</v>
      </c>
      <c r="AB252" s="32">
        <f t="shared" si="112"/>
        <v>42735</v>
      </c>
      <c r="AC252" s="52">
        <v>28</v>
      </c>
      <c r="AD252" s="1">
        <f t="shared" si="113"/>
        <v>184</v>
      </c>
      <c r="AE252" s="1">
        <f t="shared" si="114"/>
        <v>0</v>
      </c>
      <c r="AF252" s="1">
        <f t="shared" si="115"/>
        <v>0</v>
      </c>
      <c r="AG252" s="1">
        <f t="shared" si="116"/>
        <v>0</v>
      </c>
      <c r="AH252" s="1">
        <f t="shared" si="117"/>
        <v>0</v>
      </c>
      <c r="AI252" s="23">
        <f t="shared" si="118"/>
        <v>1</v>
      </c>
      <c r="AJ252" s="23">
        <f t="shared" si="119"/>
        <v>1.0925842358604092</v>
      </c>
      <c r="AK252" s="23">
        <f t="shared" si="120"/>
        <v>30.592358604091459</v>
      </c>
      <c r="AL252" s="23">
        <f t="shared" si="121"/>
        <v>76.480896510228646</v>
      </c>
      <c r="AM252" s="23">
        <f t="shared" si="122"/>
        <v>0</v>
      </c>
      <c r="AN252" s="23">
        <f t="shared" si="123"/>
        <v>76.480896510228646</v>
      </c>
      <c r="AQ252" s="32">
        <f t="shared" si="124"/>
        <v>42736</v>
      </c>
      <c r="AR252" s="32">
        <f t="shared" si="125"/>
        <v>42916</v>
      </c>
      <c r="AS252" s="52">
        <v>27</v>
      </c>
      <c r="AT252" s="1">
        <f t="shared" si="126"/>
        <v>181</v>
      </c>
      <c r="AU252" s="1">
        <f t="shared" si="127"/>
        <v>0</v>
      </c>
      <c r="AV252" s="1">
        <f t="shared" si="128"/>
        <v>0</v>
      </c>
      <c r="AW252" s="1">
        <f t="shared" si="129"/>
        <v>0</v>
      </c>
      <c r="AX252" s="1">
        <f t="shared" si="130"/>
        <v>0</v>
      </c>
      <c r="AY252" s="23">
        <f t="shared" si="131"/>
        <v>1</v>
      </c>
      <c r="AZ252" s="23">
        <f t="shared" si="132"/>
        <v>1.0925842358604092</v>
      </c>
      <c r="BA252" s="23">
        <f t="shared" si="133"/>
        <v>29.499774368231048</v>
      </c>
      <c r="BB252" s="23">
        <f t="shared" si="134"/>
        <v>73.749435920577625</v>
      </c>
      <c r="BC252" s="23">
        <f t="shared" si="135"/>
        <v>0</v>
      </c>
      <c r="BD252" s="23">
        <f t="shared" si="136"/>
        <v>73.749435920577625</v>
      </c>
    </row>
    <row r="253" spans="1:56">
      <c r="A253" s="1" t="s">
        <v>20</v>
      </c>
      <c r="B253" s="1" t="s">
        <v>32</v>
      </c>
      <c r="C253" s="1" t="s">
        <v>22</v>
      </c>
      <c r="D253" s="1" t="s">
        <v>33</v>
      </c>
      <c r="E253" s="51" t="s">
        <v>107</v>
      </c>
      <c r="F253" s="51" t="s">
        <v>294</v>
      </c>
      <c r="G253" s="51" t="s">
        <v>109</v>
      </c>
      <c r="H253" s="51" t="s">
        <v>297</v>
      </c>
      <c r="I253" s="1" t="s">
        <v>147</v>
      </c>
      <c r="J253" s="51" t="s">
        <v>112</v>
      </c>
      <c r="K253" s="51" t="s">
        <v>112</v>
      </c>
      <c r="L253" s="51" t="s">
        <v>112</v>
      </c>
      <c r="M253" s="1">
        <v>2036589</v>
      </c>
      <c r="N253" s="52" t="s">
        <v>542</v>
      </c>
      <c r="O253" s="55">
        <f t="shared" si="144"/>
        <v>42534</v>
      </c>
      <c r="P253" s="55">
        <f>DATE(2019,6,30)</f>
        <v>43646</v>
      </c>
      <c r="Q253" s="51">
        <v>2507</v>
      </c>
      <c r="S253" s="51">
        <v>2</v>
      </c>
      <c r="U253" s="1">
        <f t="shared" si="107"/>
        <v>1113</v>
      </c>
      <c r="V253" s="31">
        <f t="shared" si="108"/>
        <v>2.2524707996406108</v>
      </c>
      <c r="W253" s="31">
        <f t="shared" si="109"/>
        <v>822.151841868823</v>
      </c>
      <c r="X253" s="31">
        <f t="shared" si="110"/>
        <v>1.0276898023360288</v>
      </c>
      <c r="AA253" s="32">
        <f t="shared" si="111"/>
        <v>42552</v>
      </c>
      <c r="AB253" s="32">
        <f t="shared" si="112"/>
        <v>42735</v>
      </c>
      <c r="AC253" s="52">
        <v>29</v>
      </c>
      <c r="AD253" s="1">
        <f t="shared" si="113"/>
        <v>184</v>
      </c>
      <c r="AE253" s="1">
        <f t="shared" si="114"/>
        <v>0</v>
      </c>
      <c r="AF253" s="1">
        <f t="shared" si="115"/>
        <v>0</v>
      </c>
      <c r="AG253" s="1">
        <f t="shared" si="116"/>
        <v>0</v>
      </c>
      <c r="AH253" s="1">
        <f t="shared" si="117"/>
        <v>0</v>
      </c>
      <c r="AI253" s="23">
        <f t="shared" si="118"/>
        <v>1</v>
      </c>
      <c r="AJ253" s="23">
        <f t="shared" si="119"/>
        <v>1.0276898023360288</v>
      </c>
      <c r="AK253" s="23">
        <f t="shared" si="120"/>
        <v>29.803004267744836</v>
      </c>
      <c r="AL253" s="23">
        <f t="shared" si="121"/>
        <v>59.606008535489671</v>
      </c>
      <c r="AM253" s="23">
        <f t="shared" si="122"/>
        <v>0</v>
      </c>
      <c r="AN253" s="23">
        <f t="shared" si="123"/>
        <v>59.606008535489671</v>
      </c>
      <c r="AQ253" s="32">
        <f t="shared" si="124"/>
        <v>42736</v>
      </c>
      <c r="AR253" s="32">
        <f t="shared" si="125"/>
        <v>42916</v>
      </c>
      <c r="AS253" s="52">
        <v>29</v>
      </c>
      <c r="AT253" s="1">
        <f t="shared" si="126"/>
        <v>181</v>
      </c>
      <c r="AU253" s="1">
        <f t="shared" si="127"/>
        <v>0</v>
      </c>
      <c r="AV253" s="1">
        <f t="shared" si="128"/>
        <v>0</v>
      </c>
      <c r="AW253" s="1">
        <f t="shared" si="129"/>
        <v>0</v>
      </c>
      <c r="AX253" s="1">
        <f t="shared" si="130"/>
        <v>0</v>
      </c>
      <c r="AY253" s="23">
        <f t="shared" si="131"/>
        <v>1</v>
      </c>
      <c r="AZ253" s="23">
        <f t="shared" si="132"/>
        <v>1.0276898023360288</v>
      </c>
      <c r="BA253" s="23">
        <f t="shared" si="133"/>
        <v>29.803004267744836</v>
      </c>
      <c r="BB253" s="23">
        <f t="shared" si="134"/>
        <v>59.606008535489671</v>
      </c>
      <c r="BC253" s="23">
        <f t="shared" si="135"/>
        <v>0</v>
      </c>
      <c r="BD253" s="23">
        <f t="shared" si="136"/>
        <v>59.606008535489671</v>
      </c>
    </row>
    <row r="254" spans="1:56">
      <c r="A254" s="1" t="s">
        <v>20</v>
      </c>
      <c r="B254" s="1" t="s">
        <v>32</v>
      </c>
      <c r="C254" s="1" t="s">
        <v>22</v>
      </c>
      <c r="D254" s="1" t="s">
        <v>33</v>
      </c>
      <c r="E254" s="51" t="s">
        <v>107</v>
      </c>
      <c r="F254" s="51" t="s">
        <v>294</v>
      </c>
      <c r="G254" s="51" t="s">
        <v>109</v>
      </c>
      <c r="H254" s="51" t="s">
        <v>295</v>
      </c>
      <c r="I254" s="1" t="s">
        <v>111</v>
      </c>
      <c r="J254" s="51" t="s">
        <v>112</v>
      </c>
      <c r="K254" s="51" t="s">
        <v>112</v>
      </c>
      <c r="L254" s="51" t="s">
        <v>112</v>
      </c>
      <c r="M254" s="1">
        <v>2036597</v>
      </c>
      <c r="N254" s="52" t="s">
        <v>543</v>
      </c>
      <c r="O254" s="55">
        <f t="shared" si="144"/>
        <v>42534</v>
      </c>
      <c r="P254" s="55">
        <f>DATE(2019,6,30)</f>
        <v>43646</v>
      </c>
      <c r="Q254" s="51">
        <v>2400</v>
      </c>
      <c r="S254" s="51">
        <v>2.5</v>
      </c>
      <c r="U254" s="1">
        <f t="shared" si="107"/>
        <v>1113</v>
      </c>
      <c r="V254" s="31">
        <f t="shared" si="108"/>
        <v>2.1563342318059298</v>
      </c>
      <c r="W254" s="31">
        <f t="shared" si="109"/>
        <v>787.06199460916434</v>
      </c>
      <c r="X254" s="31">
        <f t="shared" si="110"/>
        <v>0.98382749326145547</v>
      </c>
      <c r="AA254" s="32">
        <f t="shared" si="111"/>
        <v>42552</v>
      </c>
      <c r="AB254" s="32">
        <f t="shared" si="112"/>
        <v>42735</v>
      </c>
      <c r="AC254" s="52">
        <v>28</v>
      </c>
      <c r="AD254" s="1">
        <f t="shared" si="113"/>
        <v>184</v>
      </c>
      <c r="AE254" s="1">
        <f t="shared" si="114"/>
        <v>0</v>
      </c>
      <c r="AF254" s="1">
        <f t="shared" si="115"/>
        <v>0</v>
      </c>
      <c r="AG254" s="1">
        <f t="shared" si="116"/>
        <v>0</v>
      </c>
      <c r="AH254" s="1">
        <f t="shared" si="117"/>
        <v>0</v>
      </c>
      <c r="AI254" s="23">
        <f t="shared" si="118"/>
        <v>1</v>
      </c>
      <c r="AJ254" s="23">
        <f t="shared" si="119"/>
        <v>0.98382749326145547</v>
      </c>
      <c r="AK254" s="23">
        <f t="shared" si="120"/>
        <v>27.547169811320753</v>
      </c>
      <c r="AL254" s="23">
        <f t="shared" si="121"/>
        <v>68.867924528301884</v>
      </c>
      <c r="AM254" s="23">
        <f t="shared" si="122"/>
        <v>0</v>
      </c>
      <c r="AN254" s="23">
        <f t="shared" si="123"/>
        <v>68.867924528301884</v>
      </c>
      <c r="AQ254" s="32">
        <f t="shared" si="124"/>
        <v>42736</v>
      </c>
      <c r="AR254" s="32">
        <f t="shared" si="125"/>
        <v>42916</v>
      </c>
      <c r="AS254" s="52">
        <v>27</v>
      </c>
      <c r="AT254" s="1">
        <f t="shared" si="126"/>
        <v>181</v>
      </c>
      <c r="AU254" s="1">
        <f t="shared" si="127"/>
        <v>0</v>
      </c>
      <c r="AV254" s="1">
        <f t="shared" si="128"/>
        <v>0</v>
      </c>
      <c r="AW254" s="1">
        <f t="shared" si="129"/>
        <v>0</v>
      </c>
      <c r="AX254" s="1">
        <f t="shared" si="130"/>
        <v>0</v>
      </c>
      <c r="AY254" s="23">
        <f t="shared" si="131"/>
        <v>1</v>
      </c>
      <c r="AZ254" s="23">
        <f t="shared" si="132"/>
        <v>0.98382749326145547</v>
      </c>
      <c r="BA254" s="23">
        <f t="shared" si="133"/>
        <v>26.563342318059298</v>
      </c>
      <c r="BB254" s="23">
        <f t="shared" si="134"/>
        <v>66.408355795148253</v>
      </c>
      <c r="BC254" s="23">
        <f t="shared" si="135"/>
        <v>0</v>
      </c>
      <c r="BD254" s="23">
        <f t="shared" si="136"/>
        <v>66.408355795148253</v>
      </c>
    </row>
    <row r="255" spans="1:56">
      <c r="A255" s="1" t="s">
        <v>20</v>
      </c>
      <c r="B255" s="1" t="s">
        <v>32</v>
      </c>
      <c r="C255" s="1" t="s">
        <v>22</v>
      </c>
      <c r="D255" s="1" t="s">
        <v>33</v>
      </c>
      <c r="E255" s="51" t="s">
        <v>107</v>
      </c>
      <c r="F255" s="51" t="s">
        <v>294</v>
      </c>
      <c r="G255" s="51" t="s">
        <v>109</v>
      </c>
      <c r="H255" s="51" t="s">
        <v>303</v>
      </c>
      <c r="I255" s="1" t="s">
        <v>128</v>
      </c>
      <c r="J255" s="51" t="s">
        <v>112</v>
      </c>
      <c r="K255" s="51" t="s">
        <v>112</v>
      </c>
      <c r="L255" s="51" t="s">
        <v>112</v>
      </c>
      <c r="M255" s="1">
        <v>2036599</v>
      </c>
      <c r="N255" s="52" t="s">
        <v>544</v>
      </c>
      <c r="O255" s="55">
        <f t="shared" si="144"/>
        <v>42534</v>
      </c>
      <c r="P255" s="55">
        <f>DATE(2019,6,30)</f>
        <v>43646</v>
      </c>
      <c r="Q255" s="51">
        <v>2860</v>
      </c>
      <c r="S255" s="51">
        <v>2.5</v>
      </c>
      <c r="U255" s="1">
        <f t="shared" si="107"/>
        <v>1113</v>
      </c>
      <c r="V255" s="31">
        <f t="shared" si="108"/>
        <v>2.5696316262353998</v>
      </c>
      <c r="W255" s="31">
        <f t="shared" si="109"/>
        <v>937.91554357592088</v>
      </c>
      <c r="X255" s="31">
        <f t="shared" si="110"/>
        <v>1.1723944294699011</v>
      </c>
      <c r="AA255" s="32">
        <f t="shared" si="111"/>
        <v>42552</v>
      </c>
      <c r="AB255" s="32">
        <f t="shared" si="112"/>
        <v>42735</v>
      </c>
      <c r="AC255" s="52">
        <v>25</v>
      </c>
      <c r="AD255" s="1">
        <f t="shared" si="113"/>
        <v>184</v>
      </c>
      <c r="AE255" s="1">
        <f t="shared" si="114"/>
        <v>0</v>
      </c>
      <c r="AF255" s="1">
        <f t="shared" si="115"/>
        <v>0</v>
      </c>
      <c r="AG255" s="1">
        <f t="shared" si="116"/>
        <v>0</v>
      </c>
      <c r="AH255" s="1">
        <f t="shared" si="117"/>
        <v>0</v>
      </c>
      <c r="AI255" s="23">
        <f t="shared" si="118"/>
        <v>1</v>
      </c>
      <c r="AJ255" s="23">
        <f t="shared" si="119"/>
        <v>1.1723944294699011</v>
      </c>
      <c r="AK255" s="23">
        <f t="shared" si="120"/>
        <v>29.309860736747527</v>
      </c>
      <c r="AL255" s="23">
        <f t="shared" si="121"/>
        <v>73.274651841868817</v>
      </c>
      <c r="AM255" s="23">
        <f t="shared" si="122"/>
        <v>0</v>
      </c>
      <c r="AN255" s="23">
        <f t="shared" si="123"/>
        <v>73.274651841868817</v>
      </c>
      <c r="AQ255" s="32">
        <f t="shared" si="124"/>
        <v>42736</v>
      </c>
      <c r="AR255" s="32">
        <f t="shared" si="125"/>
        <v>42916</v>
      </c>
      <c r="AS255" s="52">
        <v>25</v>
      </c>
      <c r="AT255" s="1">
        <f t="shared" si="126"/>
        <v>181</v>
      </c>
      <c r="AU255" s="1">
        <f t="shared" si="127"/>
        <v>0</v>
      </c>
      <c r="AV255" s="1">
        <f t="shared" si="128"/>
        <v>0</v>
      </c>
      <c r="AW255" s="1">
        <f t="shared" si="129"/>
        <v>0</v>
      </c>
      <c r="AX255" s="1">
        <f t="shared" si="130"/>
        <v>0</v>
      </c>
      <c r="AY255" s="23">
        <f t="shared" si="131"/>
        <v>1</v>
      </c>
      <c r="AZ255" s="23">
        <f t="shared" si="132"/>
        <v>1.1723944294699011</v>
      </c>
      <c r="BA255" s="23">
        <f t="shared" si="133"/>
        <v>29.309860736747527</v>
      </c>
      <c r="BB255" s="23">
        <f t="shared" si="134"/>
        <v>73.274651841868817</v>
      </c>
      <c r="BC255" s="23">
        <f t="shared" si="135"/>
        <v>0</v>
      </c>
      <c r="BD255" s="23">
        <f t="shared" si="136"/>
        <v>73.274651841868817</v>
      </c>
    </row>
    <row r="256" spans="1:56">
      <c r="A256" s="1" t="s">
        <v>20</v>
      </c>
      <c r="B256" s="1" t="s">
        <v>32</v>
      </c>
      <c r="C256" s="1" t="s">
        <v>22</v>
      </c>
      <c r="D256" s="1" t="s">
        <v>33</v>
      </c>
      <c r="E256" s="51" t="s">
        <v>107</v>
      </c>
      <c r="F256" s="51" t="s">
        <v>294</v>
      </c>
      <c r="G256" s="51" t="s">
        <v>109</v>
      </c>
      <c r="H256" s="51" t="s">
        <v>305</v>
      </c>
      <c r="I256" s="1" t="s">
        <v>234</v>
      </c>
      <c r="J256" s="51" t="s">
        <v>112</v>
      </c>
      <c r="K256" s="51" t="s">
        <v>112</v>
      </c>
      <c r="L256" s="51" t="s">
        <v>112</v>
      </c>
      <c r="M256" s="1">
        <v>2036600</v>
      </c>
      <c r="N256" s="52" t="s">
        <v>545</v>
      </c>
      <c r="O256" s="55">
        <f t="shared" si="144"/>
        <v>42534</v>
      </c>
      <c r="P256" s="55">
        <f>DATE(2018,12,30)</f>
        <v>43464</v>
      </c>
      <c r="Q256" s="51">
        <v>2360</v>
      </c>
      <c r="S256" s="51">
        <v>1</v>
      </c>
      <c r="U256" s="1">
        <f t="shared" si="107"/>
        <v>931</v>
      </c>
      <c r="V256" s="31">
        <f t="shared" si="108"/>
        <v>2.5349087003222341</v>
      </c>
      <c r="W256" s="31">
        <f t="shared" si="109"/>
        <v>925.24167561761544</v>
      </c>
      <c r="X256" s="31">
        <f t="shared" si="110"/>
        <v>1.1565520945220193</v>
      </c>
      <c r="AA256" s="32">
        <f t="shared" si="111"/>
        <v>42552</v>
      </c>
      <c r="AB256" s="32">
        <f t="shared" si="112"/>
        <v>42735</v>
      </c>
      <c r="AC256" s="52">
        <v>30</v>
      </c>
      <c r="AD256" s="1">
        <f t="shared" si="113"/>
        <v>184</v>
      </c>
      <c r="AE256" s="1">
        <f t="shared" si="114"/>
        <v>0</v>
      </c>
      <c r="AF256" s="1">
        <f t="shared" si="115"/>
        <v>0</v>
      </c>
      <c r="AG256" s="1">
        <f t="shared" si="116"/>
        <v>0</v>
      </c>
      <c r="AH256" s="1">
        <f t="shared" si="117"/>
        <v>0</v>
      </c>
      <c r="AI256" s="23">
        <f t="shared" si="118"/>
        <v>1</v>
      </c>
      <c r="AJ256" s="23">
        <f t="shared" si="119"/>
        <v>1.1565520945220193</v>
      </c>
      <c r="AK256" s="23">
        <f t="shared" si="120"/>
        <v>34.696562835660579</v>
      </c>
      <c r="AL256" s="23">
        <f t="shared" si="121"/>
        <v>34.696562835660579</v>
      </c>
      <c r="AM256" s="23">
        <f t="shared" si="122"/>
        <v>0</v>
      </c>
      <c r="AN256" s="23">
        <f t="shared" si="123"/>
        <v>34.696562835660579</v>
      </c>
      <c r="AQ256" s="32">
        <f t="shared" si="124"/>
        <v>42736</v>
      </c>
      <c r="AR256" s="32">
        <f t="shared" si="125"/>
        <v>42916</v>
      </c>
      <c r="AS256" s="52">
        <v>29</v>
      </c>
      <c r="AT256" s="1">
        <f t="shared" si="126"/>
        <v>181</v>
      </c>
      <c r="AU256" s="1">
        <f t="shared" si="127"/>
        <v>0</v>
      </c>
      <c r="AV256" s="1">
        <f t="shared" si="128"/>
        <v>0</v>
      </c>
      <c r="AW256" s="1">
        <f t="shared" si="129"/>
        <v>0</v>
      </c>
      <c r="AX256" s="1">
        <f t="shared" si="130"/>
        <v>0</v>
      </c>
      <c r="AY256" s="23">
        <f t="shared" si="131"/>
        <v>1</v>
      </c>
      <c r="AZ256" s="23">
        <f t="shared" si="132"/>
        <v>1.1565520945220193</v>
      </c>
      <c r="BA256" s="23">
        <f t="shared" si="133"/>
        <v>33.540010741138559</v>
      </c>
      <c r="BB256" s="23">
        <f t="shared" si="134"/>
        <v>33.540010741138559</v>
      </c>
      <c r="BC256" s="23">
        <f t="shared" si="135"/>
        <v>0</v>
      </c>
      <c r="BD256" s="23">
        <f t="shared" si="136"/>
        <v>33.540010741138559</v>
      </c>
    </row>
    <row r="257" spans="1:56">
      <c r="A257" s="1" t="s">
        <v>20</v>
      </c>
      <c r="B257" s="1" t="s">
        <v>32</v>
      </c>
      <c r="C257" s="1" t="s">
        <v>22</v>
      </c>
      <c r="D257" s="1" t="s">
        <v>33</v>
      </c>
      <c r="E257" s="51" t="s">
        <v>107</v>
      </c>
      <c r="F257" s="51" t="s">
        <v>114</v>
      </c>
      <c r="G257" s="51" t="s">
        <v>109</v>
      </c>
      <c r="H257" s="51" t="s">
        <v>311</v>
      </c>
      <c r="I257" s="1" t="s">
        <v>111</v>
      </c>
      <c r="J257" s="51" t="s">
        <v>112</v>
      </c>
      <c r="K257" s="51" t="s">
        <v>112</v>
      </c>
      <c r="L257" s="51" t="s">
        <v>112</v>
      </c>
      <c r="M257" s="1">
        <v>2036604</v>
      </c>
      <c r="N257" s="52" t="s">
        <v>546</v>
      </c>
      <c r="O257" s="55">
        <f t="shared" si="144"/>
        <v>42534</v>
      </c>
      <c r="P257" s="55">
        <f>DATE(2019,6,30)</f>
        <v>43646</v>
      </c>
      <c r="Q257" s="51">
        <v>3100</v>
      </c>
      <c r="S257" s="51">
        <v>2.5</v>
      </c>
      <c r="U257" s="1">
        <f t="shared" si="107"/>
        <v>1113</v>
      </c>
      <c r="V257" s="31">
        <f t="shared" si="108"/>
        <v>2.785265049415993</v>
      </c>
      <c r="W257" s="31">
        <f t="shared" si="109"/>
        <v>1016.6217430368374</v>
      </c>
      <c r="X257" s="31">
        <f t="shared" si="110"/>
        <v>1.2707771787960467</v>
      </c>
      <c r="AA257" s="32">
        <f t="shared" si="111"/>
        <v>42552</v>
      </c>
      <c r="AB257" s="32">
        <f t="shared" si="112"/>
        <v>42735</v>
      </c>
      <c r="AC257" s="52">
        <v>37</v>
      </c>
      <c r="AD257" s="1">
        <f t="shared" si="113"/>
        <v>184</v>
      </c>
      <c r="AE257" s="1">
        <f t="shared" si="114"/>
        <v>0</v>
      </c>
      <c r="AF257" s="1">
        <f t="shared" si="115"/>
        <v>0</v>
      </c>
      <c r="AG257" s="1">
        <f t="shared" si="116"/>
        <v>0</v>
      </c>
      <c r="AH257" s="1">
        <f t="shared" si="117"/>
        <v>0</v>
      </c>
      <c r="AI257" s="23">
        <f t="shared" si="118"/>
        <v>1</v>
      </c>
      <c r="AJ257" s="23">
        <f t="shared" si="119"/>
        <v>1.2707771787960467</v>
      </c>
      <c r="AK257" s="23">
        <f t="shared" si="120"/>
        <v>47.018755615453728</v>
      </c>
      <c r="AL257" s="23">
        <f t="shared" si="121"/>
        <v>117.54688903863432</v>
      </c>
      <c r="AM257" s="23">
        <f t="shared" si="122"/>
        <v>0</v>
      </c>
      <c r="AN257" s="23">
        <f t="shared" si="123"/>
        <v>117.54688903863432</v>
      </c>
      <c r="AQ257" s="32">
        <f t="shared" si="124"/>
        <v>42736</v>
      </c>
      <c r="AR257" s="32">
        <f t="shared" si="125"/>
        <v>42916</v>
      </c>
      <c r="AS257" s="52">
        <v>35</v>
      </c>
      <c r="AT257" s="1">
        <f t="shared" si="126"/>
        <v>181</v>
      </c>
      <c r="AU257" s="1">
        <f t="shared" si="127"/>
        <v>0</v>
      </c>
      <c r="AV257" s="1">
        <f t="shared" si="128"/>
        <v>0</v>
      </c>
      <c r="AW257" s="1">
        <f t="shared" si="129"/>
        <v>0</v>
      </c>
      <c r="AX257" s="1">
        <f t="shared" si="130"/>
        <v>0</v>
      </c>
      <c r="AY257" s="23">
        <f t="shared" si="131"/>
        <v>1</v>
      </c>
      <c r="AZ257" s="23">
        <f t="shared" si="132"/>
        <v>1.2707771787960467</v>
      </c>
      <c r="BA257" s="23">
        <f t="shared" si="133"/>
        <v>44.477201257861637</v>
      </c>
      <c r="BB257" s="23">
        <f t="shared" si="134"/>
        <v>111.19300314465409</v>
      </c>
      <c r="BC257" s="23">
        <f t="shared" si="135"/>
        <v>0</v>
      </c>
      <c r="BD257" s="23">
        <f t="shared" si="136"/>
        <v>111.19300314465409</v>
      </c>
    </row>
    <row r="258" spans="1:56">
      <c r="A258" s="1" t="s">
        <v>20</v>
      </c>
      <c r="B258" s="1" t="s">
        <v>32</v>
      </c>
      <c r="C258" s="1" t="s">
        <v>22</v>
      </c>
      <c r="D258" s="1" t="s">
        <v>33</v>
      </c>
      <c r="E258" s="51" t="s">
        <v>107</v>
      </c>
      <c r="F258" s="51" t="s">
        <v>114</v>
      </c>
      <c r="G258" s="51" t="s">
        <v>109</v>
      </c>
      <c r="H258" s="51" t="s">
        <v>313</v>
      </c>
      <c r="I258" s="1" t="s">
        <v>116</v>
      </c>
      <c r="J258" s="51" t="s">
        <v>112</v>
      </c>
      <c r="K258" s="51" t="s">
        <v>112</v>
      </c>
      <c r="L258" s="51" t="s">
        <v>112</v>
      </c>
      <c r="M258" s="1">
        <v>2036607</v>
      </c>
      <c r="N258" s="52" t="s">
        <v>547</v>
      </c>
      <c r="O258" s="55">
        <f t="shared" si="144"/>
        <v>42534</v>
      </c>
      <c r="P258" s="55">
        <f>DATE(2019,6,30)</f>
        <v>43646</v>
      </c>
      <c r="Q258" s="51">
        <v>3220</v>
      </c>
      <c r="S258" s="51">
        <v>2.5</v>
      </c>
      <c r="U258" s="1">
        <f t="shared" si="107"/>
        <v>1113</v>
      </c>
      <c r="V258" s="31">
        <f t="shared" si="108"/>
        <v>2.8930817610062891</v>
      </c>
      <c r="W258" s="31">
        <f t="shared" si="109"/>
        <v>1055.9748427672955</v>
      </c>
      <c r="X258" s="31">
        <f t="shared" si="110"/>
        <v>1.3199685534591195</v>
      </c>
      <c r="AA258" s="32">
        <f t="shared" si="111"/>
        <v>42552</v>
      </c>
      <c r="AB258" s="32">
        <f t="shared" si="112"/>
        <v>42735</v>
      </c>
      <c r="AC258" s="52">
        <v>39</v>
      </c>
      <c r="AD258" s="1">
        <f t="shared" si="113"/>
        <v>184</v>
      </c>
      <c r="AE258" s="1">
        <f t="shared" si="114"/>
        <v>0</v>
      </c>
      <c r="AF258" s="1">
        <f t="shared" si="115"/>
        <v>0</v>
      </c>
      <c r="AG258" s="1">
        <f t="shared" si="116"/>
        <v>0</v>
      </c>
      <c r="AH258" s="1">
        <f t="shared" si="117"/>
        <v>0</v>
      </c>
      <c r="AI258" s="23">
        <f t="shared" si="118"/>
        <v>1</v>
      </c>
      <c r="AJ258" s="23">
        <f t="shared" si="119"/>
        <v>1.3199685534591195</v>
      </c>
      <c r="AK258" s="23">
        <f t="shared" si="120"/>
        <v>51.47877358490566</v>
      </c>
      <c r="AL258" s="23">
        <f t="shared" si="121"/>
        <v>128.69693396226415</v>
      </c>
      <c r="AM258" s="23">
        <f t="shared" si="122"/>
        <v>0</v>
      </c>
      <c r="AN258" s="23">
        <f t="shared" si="123"/>
        <v>128.69693396226415</v>
      </c>
      <c r="AQ258" s="32">
        <f t="shared" si="124"/>
        <v>42736</v>
      </c>
      <c r="AR258" s="32">
        <f t="shared" si="125"/>
        <v>42916</v>
      </c>
      <c r="AS258" s="52">
        <v>39</v>
      </c>
      <c r="AT258" s="1">
        <f t="shared" si="126"/>
        <v>181</v>
      </c>
      <c r="AU258" s="1">
        <f t="shared" si="127"/>
        <v>0</v>
      </c>
      <c r="AV258" s="1">
        <f t="shared" si="128"/>
        <v>0</v>
      </c>
      <c r="AW258" s="1">
        <f t="shared" si="129"/>
        <v>0</v>
      </c>
      <c r="AX258" s="1">
        <f t="shared" si="130"/>
        <v>0</v>
      </c>
      <c r="AY258" s="23">
        <f t="shared" si="131"/>
        <v>1</v>
      </c>
      <c r="AZ258" s="23">
        <f t="shared" si="132"/>
        <v>1.3199685534591195</v>
      </c>
      <c r="BA258" s="23">
        <f t="shared" si="133"/>
        <v>51.47877358490566</v>
      </c>
      <c r="BB258" s="23">
        <f t="shared" si="134"/>
        <v>128.69693396226415</v>
      </c>
      <c r="BC258" s="23">
        <f t="shared" si="135"/>
        <v>0</v>
      </c>
      <c r="BD258" s="23">
        <f t="shared" si="136"/>
        <v>128.69693396226415</v>
      </c>
    </row>
    <row r="259" spans="1:56">
      <c r="A259" s="1" t="s">
        <v>20</v>
      </c>
      <c r="B259" s="1" t="s">
        <v>32</v>
      </c>
      <c r="C259" s="1" t="s">
        <v>22</v>
      </c>
      <c r="D259" s="1" t="s">
        <v>33</v>
      </c>
      <c r="E259" s="51" t="s">
        <v>107</v>
      </c>
      <c r="F259" s="51" t="s">
        <v>114</v>
      </c>
      <c r="G259" s="51" t="s">
        <v>109</v>
      </c>
      <c r="H259" s="51" t="s">
        <v>308</v>
      </c>
      <c r="I259" s="1" t="s">
        <v>309</v>
      </c>
      <c r="J259" s="51" t="s">
        <v>112</v>
      </c>
      <c r="K259" s="51" t="s">
        <v>112</v>
      </c>
      <c r="L259" s="51" t="s">
        <v>112</v>
      </c>
      <c r="M259" s="1">
        <v>2036613</v>
      </c>
      <c r="N259" s="52" t="s">
        <v>548</v>
      </c>
      <c r="O259" s="55">
        <f t="shared" si="144"/>
        <v>42534</v>
      </c>
      <c r="P259" s="55">
        <f>DATE(2019,6,30)</f>
        <v>43646</v>
      </c>
      <c r="Q259" s="51">
        <v>3399</v>
      </c>
      <c r="S259" s="51">
        <v>2.5</v>
      </c>
      <c r="U259" s="1">
        <f t="shared" si="107"/>
        <v>1113</v>
      </c>
      <c r="V259" s="31">
        <f t="shared" si="108"/>
        <v>3.0539083557951483</v>
      </c>
      <c r="W259" s="31">
        <f t="shared" si="109"/>
        <v>1114.6765498652292</v>
      </c>
      <c r="X259" s="31">
        <f t="shared" si="110"/>
        <v>1.3933456873315364</v>
      </c>
      <c r="AA259" s="32">
        <f t="shared" si="111"/>
        <v>42552</v>
      </c>
      <c r="AB259" s="32">
        <f t="shared" si="112"/>
        <v>42735</v>
      </c>
      <c r="AC259" s="52">
        <v>39</v>
      </c>
      <c r="AD259" s="1">
        <f t="shared" si="113"/>
        <v>184</v>
      </c>
      <c r="AE259" s="1">
        <f t="shared" si="114"/>
        <v>0</v>
      </c>
      <c r="AF259" s="1">
        <f t="shared" si="115"/>
        <v>0</v>
      </c>
      <c r="AG259" s="1">
        <f t="shared" si="116"/>
        <v>0</v>
      </c>
      <c r="AH259" s="1">
        <f t="shared" si="117"/>
        <v>0</v>
      </c>
      <c r="AI259" s="23">
        <f t="shared" si="118"/>
        <v>1</v>
      </c>
      <c r="AJ259" s="23">
        <f t="shared" si="119"/>
        <v>1.3933456873315364</v>
      </c>
      <c r="AK259" s="23">
        <f t="shared" si="120"/>
        <v>54.340481805929919</v>
      </c>
      <c r="AL259" s="23">
        <f t="shared" si="121"/>
        <v>135.85120451482479</v>
      </c>
      <c r="AM259" s="23">
        <f t="shared" si="122"/>
        <v>0</v>
      </c>
      <c r="AN259" s="23">
        <f t="shared" si="123"/>
        <v>135.85120451482479</v>
      </c>
      <c r="AQ259" s="32">
        <f t="shared" si="124"/>
        <v>42736</v>
      </c>
      <c r="AR259" s="32">
        <f t="shared" si="125"/>
        <v>42916</v>
      </c>
      <c r="AS259" s="52">
        <v>39</v>
      </c>
      <c r="AT259" s="1">
        <f t="shared" si="126"/>
        <v>181</v>
      </c>
      <c r="AU259" s="1">
        <f t="shared" si="127"/>
        <v>0</v>
      </c>
      <c r="AV259" s="1">
        <f t="shared" si="128"/>
        <v>0</v>
      </c>
      <c r="AW259" s="1">
        <f t="shared" si="129"/>
        <v>0</v>
      </c>
      <c r="AX259" s="1">
        <f t="shared" si="130"/>
        <v>0</v>
      </c>
      <c r="AY259" s="23">
        <f t="shared" si="131"/>
        <v>1</v>
      </c>
      <c r="AZ259" s="23">
        <f t="shared" si="132"/>
        <v>1.3933456873315364</v>
      </c>
      <c r="BA259" s="23">
        <f t="shared" si="133"/>
        <v>54.340481805929919</v>
      </c>
      <c r="BB259" s="23">
        <f t="shared" si="134"/>
        <v>135.85120451482479</v>
      </c>
      <c r="BC259" s="23">
        <f t="shared" si="135"/>
        <v>0</v>
      </c>
      <c r="BD259" s="23">
        <f t="shared" si="136"/>
        <v>135.85120451482479</v>
      </c>
    </row>
    <row r="260" spans="1:56">
      <c r="A260" s="1" t="s">
        <v>20</v>
      </c>
      <c r="B260" s="1" t="s">
        <v>32</v>
      </c>
      <c r="C260" s="1" t="s">
        <v>22</v>
      </c>
      <c r="D260" s="1" t="s">
        <v>33</v>
      </c>
      <c r="E260" s="51" t="s">
        <v>107</v>
      </c>
      <c r="F260" s="51" t="s">
        <v>114</v>
      </c>
      <c r="G260" s="51" t="s">
        <v>109</v>
      </c>
      <c r="H260" s="51" t="s">
        <v>152</v>
      </c>
      <c r="I260" s="1" t="s">
        <v>147</v>
      </c>
      <c r="J260" s="51" t="s">
        <v>112</v>
      </c>
      <c r="K260" s="51" t="s">
        <v>112</v>
      </c>
      <c r="L260" s="51" t="s">
        <v>112</v>
      </c>
      <c r="M260" s="1">
        <v>2037501</v>
      </c>
      <c r="N260" s="52" t="s">
        <v>549</v>
      </c>
      <c r="O260" s="55">
        <f t="shared" si="144"/>
        <v>42534</v>
      </c>
      <c r="P260" s="55">
        <f>DATE(2020,6,30)</f>
        <v>44012</v>
      </c>
      <c r="Q260" s="51">
        <v>3700</v>
      </c>
      <c r="S260" s="51">
        <v>2.5</v>
      </c>
      <c r="U260" s="1">
        <f t="shared" ref="U260:U320" si="145">P260-O260+1</f>
        <v>1479</v>
      </c>
      <c r="V260" s="31">
        <f t="shared" ref="V260:V320" si="146">Q260/U260</f>
        <v>2.5016903313049359</v>
      </c>
      <c r="W260" s="31">
        <f t="shared" ref="W260:W320" si="147">IF(U260&gt;365,V260*365,Q260)</f>
        <v>913.11697092630163</v>
      </c>
      <c r="X260" s="31">
        <f t="shared" ref="X260:X320" si="148">IF(U260&gt;365,W260/800,Q260/800)</f>
        <v>1.141396213657877</v>
      </c>
      <c r="AA260" s="32">
        <f t="shared" ref="AA260:AA320" si="149">DATE(2016,7,1)</f>
        <v>42552</v>
      </c>
      <c r="AB260" s="32">
        <f t="shared" ref="AB260:AB320" si="150">DATE(2016,12,31)</f>
        <v>42735</v>
      </c>
      <c r="AC260" s="52">
        <v>39</v>
      </c>
      <c r="AD260" s="1">
        <f t="shared" ref="AD260:AD320" si="151">IF(AND(O260&lt;AA260,P260&gt;AB260),AB260-AA260+1,0)</f>
        <v>184</v>
      </c>
      <c r="AE260" s="1">
        <f t="shared" ref="AE260:AE320" si="152">IF(AND(O260&gt;=AA260,P260&gt;AB260,O260&lt;AB260),AB260-O260+1,0)</f>
        <v>0</v>
      </c>
      <c r="AF260" s="1">
        <f t="shared" ref="AF260:AF320" si="153">IF(AND(O260&lt;AA260,P260&lt;=AB260,P260&gt;=AA260),P260-AA260+1,0)</f>
        <v>0</v>
      </c>
      <c r="AG260" s="1">
        <f t="shared" ref="AG260:AG320" si="154">IF(AND(O260&gt;=AA260,P260&lt;=AB260),P260-O260+1,0)</f>
        <v>0</v>
      </c>
      <c r="AH260" s="1">
        <f t="shared" ref="AH260:AH320" si="155">IF(AND(O260&lt;AA260,P260&lt;AA260),(AB260-AA260+1)/2,0)</f>
        <v>0</v>
      </c>
      <c r="AI260" s="23">
        <f t="shared" ref="AI260:AI320" si="156">SUM(AD260:AH260)/(AB260-AA260+1)</f>
        <v>1</v>
      </c>
      <c r="AJ260" s="23">
        <f t="shared" ref="AJ260:AJ320" si="157">X260*AI260</f>
        <v>1.141396213657877</v>
      </c>
      <c r="AK260" s="23">
        <f t="shared" ref="AK260:AK320" si="158">IF(AH260=0,AJ260*AC260,IF(AA260-P260&gt;1095,0,AJ260*(AC260/2)))</f>
        <v>44.514452332657207</v>
      </c>
      <c r="AL260" s="23">
        <f t="shared" ref="AL260:AL320" si="159">AK260*S260</f>
        <v>111.28613083164302</v>
      </c>
      <c r="AM260" s="23">
        <f t="shared" ref="AM260:AM320" si="160">IF(J260="SIM",AL260*50%,0)</f>
        <v>0</v>
      </c>
      <c r="AN260" s="23">
        <f t="shared" ref="AN260:AN320" si="161">AL260+AM260</f>
        <v>111.28613083164302</v>
      </c>
      <c r="AQ260" s="32">
        <f t="shared" ref="AQ260:AQ320" si="162">DATE(2017,1,1)</f>
        <v>42736</v>
      </c>
      <c r="AR260" s="32">
        <f t="shared" ref="AR260:AR320" si="163">DATE(2017,6,30)</f>
        <v>42916</v>
      </c>
      <c r="AS260" s="52">
        <v>37</v>
      </c>
      <c r="AT260" s="1">
        <f t="shared" ref="AT260:AT320" si="164">IF(AND(O260&lt;AQ260,P260&gt;AR260),AR260-AQ260+1,0)</f>
        <v>181</v>
      </c>
      <c r="AU260" s="1">
        <f t="shared" ref="AU260:AU320" si="165">IF(AND(O260&gt;=AQ260,P260&gt;AR260,O260&lt;AR260),AR260-O260+1,0)</f>
        <v>0</v>
      </c>
      <c r="AV260" s="1">
        <f t="shared" ref="AV260:AV320" si="166">IF(AND(O260&lt;AQ260,P260&lt;=AR260,P260&gt;=AQ260),P260-AQ260+1,0)</f>
        <v>0</v>
      </c>
      <c r="AW260" s="1">
        <f t="shared" ref="AW260:AW320" si="167">IF(AND(O260&gt;=AQ260,P260&lt;=AR260),P260-O260+1,0)</f>
        <v>0</v>
      </c>
      <c r="AX260" s="1">
        <f t="shared" ref="AX260:AX320" si="168">IF(AND(O260&lt;AQ260,P260&lt;AQ260),(AR260-AQ260+1)/2,0)</f>
        <v>0</v>
      </c>
      <c r="AY260" s="23">
        <f t="shared" ref="AY260:AY320" si="169">SUM(AT260:AX260)/(AR260-AQ260+1)</f>
        <v>1</v>
      </c>
      <c r="AZ260" s="23">
        <f t="shared" ref="AZ260:AZ320" si="170">X260*AY260</f>
        <v>1.141396213657877</v>
      </c>
      <c r="BA260" s="23">
        <f t="shared" ref="BA260:BA320" si="171">IF(AX260=0,AZ260*AS260,IF(AQ260-P260&gt;1095,0,AZ260*(AS260/2)))</f>
        <v>42.231659905341452</v>
      </c>
      <c r="BB260" s="23">
        <f t="shared" ref="BB260:BB320" si="172">BA260*S260</f>
        <v>105.57914976335363</v>
      </c>
      <c r="BC260" s="23">
        <f t="shared" ref="BC260:BC320" si="173">IF(J260="SIM",BB260*50%,0)</f>
        <v>0</v>
      </c>
      <c r="BD260" s="23">
        <f t="shared" ref="BD260:BD320" si="174">BB260+BC260</f>
        <v>105.57914976335363</v>
      </c>
    </row>
    <row r="261" spans="1:56">
      <c r="A261" s="1" t="s">
        <v>20</v>
      </c>
      <c r="B261" s="1" t="s">
        <v>32</v>
      </c>
      <c r="C261" s="1" t="s">
        <v>22</v>
      </c>
      <c r="D261" s="1" t="s">
        <v>33</v>
      </c>
      <c r="E261" s="51" t="s">
        <v>107</v>
      </c>
      <c r="F261" s="51" t="s">
        <v>114</v>
      </c>
      <c r="G261" s="51" t="s">
        <v>109</v>
      </c>
      <c r="H261" s="51" t="s">
        <v>130</v>
      </c>
      <c r="I261" s="1" t="s">
        <v>131</v>
      </c>
      <c r="J261" s="51" t="s">
        <v>112</v>
      </c>
      <c r="K261" s="51" t="s">
        <v>112</v>
      </c>
      <c r="L261" s="51" t="s">
        <v>112</v>
      </c>
      <c r="M261" s="1">
        <v>2037506</v>
      </c>
      <c r="N261" s="52" t="s">
        <v>550</v>
      </c>
      <c r="O261" s="55">
        <f t="shared" si="144"/>
        <v>42534</v>
      </c>
      <c r="P261" s="55">
        <f>DATE(2020,6,30)</f>
        <v>44012</v>
      </c>
      <c r="Q261" s="51">
        <v>4000</v>
      </c>
      <c r="S261" s="51">
        <v>2.5</v>
      </c>
      <c r="U261" s="1">
        <f t="shared" si="145"/>
        <v>1479</v>
      </c>
      <c r="V261" s="31">
        <f t="shared" si="146"/>
        <v>2.7045300878972278</v>
      </c>
      <c r="W261" s="31">
        <f t="shared" si="147"/>
        <v>987.15348208248815</v>
      </c>
      <c r="X261" s="31">
        <f t="shared" si="148"/>
        <v>1.2339418526031103</v>
      </c>
      <c r="AA261" s="32">
        <f t="shared" si="149"/>
        <v>42552</v>
      </c>
      <c r="AB261" s="32">
        <f t="shared" si="150"/>
        <v>42735</v>
      </c>
      <c r="AC261" s="52">
        <v>40</v>
      </c>
      <c r="AD261" s="1">
        <f t="shared" si="151"/>
        <v>184</v>
      </c>
      <c r="AE261" s="1">
        <f t="shared" si="152"/>
        <v>0</v>
      </c>
      <c r="AF261" s="1">
        <f t="shared" si="153"/>
        <v>0</v>
      </c>
      <c r="AG261" s="1">
        <f t="shared" si="154"/>
        <v>0</v>
      </c>
      <c r="AH261" s="1">
        <f t="shared" si="155"/>
        <v>0</v>
      </c>
      <c r="AI261" s="23">
        <f t="shared" si="156"/>
        <v>1</v>
      </c>
      <c r="AJ261" s="23">
        <f t="shared" si="157"/>
        <v>1.2339418526031103</v>
      </c>
      <c r="AK261" s="23">
        <f t="shared" si="158"/>
        <v>49.357674104124413</v>
      </c>
      <c r="AL261" s="23">
        <f t="shared" si="159"/>
        <v>123.39418526031103</v>
      </c>
      <c r="AM261" s="23">
        <f t="shared" si="160"/>
        <v>0</v>
      </c>
      <c r="AN261" s="23">
        <f t="shared" si="161"/>
        <v>123.39418526031103</v>
      </c>
      <c r="AQ261" s="32">
        <f t="shared" si="162"/>
        <v>42736</v>
      </c>
      <c r="AR261" s="32">
        <f t="shared" si="163"/>
        <v>42916</v>
      </c>
      <c r="AS261" s="52">
        <v>39</v>
      </c>
      <c r="AT261" s="1">
        <f t="shared" si="164"/>
        <v>181</v>
      </c>
      <c r="AU261" s="1">
        <f t="shared" si="165"/>
        <v>0</v>
      </c>
      <c r="AV261" s="1">
        <f t="shared" si="166"/>
        <v>0</v>
      </c>
      <c r="AW261" s="1">
        <f t="shared" si="167"/>
        <v>0</v>
      </c>
      <c r="AX261" s="1">
        <f t="shared" si="168"/>
        <v>0</v>
      </c>
      <c r="AY261" s="23">
        <f t="shared" si="169"/>
        <v>1</v>
      </c>
      <c r="AZ261" s="23">
        <f t="shared" si="170"/>
        <v>1.2339418526031103</v>
      </c>
      <c r="BA261" s="23">
        <f t="shared" si="171"/>
        <v>48.123732251521304</v>
      </c>
      <c r="BB261" s="23">
        <f t="shared" si="172"/>
        <v>120.30933062880325</v>
      </c>
      <c r="BC261" s="23">
        <f t="shared" si="173"/>
        <v>0</v>
      </c>
      <c r="BD261" s="23">
        <f t="shared" si="174"/>
        <v>120.30933062880325</v>
      </c>
    </row>
    <row r="262" spans="1:56">
      <c r="A262" s="1" t="s">
        <v>20</v>
      </c>
      <c r="B262" s="1" t="s">
        <v>32</v>
      </c>
      <c r="C262" s="1" t="s">
        <v>22</v>
      </c>
      <c r="D262" s="1" t="s">
        <v>33</v>
      </c>
      <c r="E262" s="51" t="s">
        <v>107</v>
      </c>
      <c r="F262" s="51" t="s">
        <v>114</v>
      </c>
      <c r="G262" s="51" t="s">
        <v>109</v>
      </c>
      <c r="H262" s="51" t="s">
        <v>317</v>
      </c>
      <c r="I262" s="1" t="s">
        <v>116</v>
      </c>
      <c r="J262" s="51" t="s">
        <v>112</v>
      </c>
      <c r="K262" s="51" t="s">
        <v>112</v>
      </c>
      <c r="L262" s="51" t="s">
        <v>112</v>
      </c>
      <c r="M262" s="1">
        <v>2037549</v>
      </c>
      <c r="N262" s="52" t="s">
        <v>551</v>
      </c>
      <c r="O262" s="55">
        <f t="shared" si="144"/>
        <v>42534</v>
      </c>
      <c r="P262" s="55">
        <f>DATE(2019,6,30)</f>
        <v>43646</v>
      </c>
      <c r="Q262" s="51">
        <v>3200</v>
      </c>
      <c r="S262" s="51">
        <v>2.5</v>
      </c>
      <c r="U262" s="1">
        <f t="shared" si="145"/>
        <v>1113</v>
      </c>
      <c r="V262" s="31">
        <f t="shared" si="146"/>
        <v>2.8751123090745732</v>
      </c>
      <c r="W262" s="31">
        <f t="shared" si="147"/>
        <v>1049.4159928122192</v>
      </c>
      <c r="X262" s="31">
        <f t="shared" si="148"/>
        <v>1.311769991015274</v>
      </c>
      <c r="AA262" s="32">
        <f t="shared" si="149"/>
        <v>42552</v>
      </c>
      <c r="AB262" s="32">
        <f t="shared" si="150"/>
        <v>42735</v>
      </c>
      <c r="AC262" s="52">
        <v>40</v>
      </c>
      <c r="AD262" s="1">
        <f t="shared" si="151"/>
        <v>184</v>
      </c>
      <c r="AE262" s="1">
        <f t="shared" si="152"/>
        <v>0</v>
      </c>
      <c r="AF262" s="1">
        <f t="shared" si="153"/>
        <v>0</v>
      </c>
      <c r="AG262" s="1">
        <f t="shared" si="154"/>
        <v>0</v>
      </c>
      <c r="AH262" s="1">
        <f t="shared" si="155"/>
        <v>0</v>
      </c>
      <c r="AI262" s="23">
        <f t="shared" si="156"/>
        <v>1</v>
      </c>
      <c r="AJ262" s="23">
        <f t="shared" si="157"/>
        <v>1.311769991015274</v>
      </c>
      <c r="AK262" s="23">
        <f t="shared" si="158"/>
        <v>52.470799640610963</v>
      </c>
      <c r="AL262" s="23">
        <f t="shared" si="159"/>
        <v>131.1769991015274</v>
      </c>
      <c r="AM262" s="23">
        <f t="shared" si="160"/>
        <v>0</v>
      </c>
      <c r="AN262" s="23">
        <f t="shared" si="161"/>
        <v>131.1769991015274</v>
      </c>
      <c r="AQ262" s="32">
        <f t="shared" si="162"/>
        <v>42736</v>
      </c>
      <c r="AR262" s="32">
        <f t="shared" si="163"/>
        <v>42916</v>
      </c>
      <c r="AS262" s="52">
        <v>39</v>
      </c>
      <c r="AT262" s="1">
        <f t="shared" si="164"/>
        <v>181</v>
      </c>
      <c r="AU262" s="1">
        <f t="shared" si="165"/>
        <v>0</v>
      </c>
      <c r="AV262" s="1">
        <f t="shared" si="166"/>
        <v>0</v>
      </c>
      <c r="AW262" s="1">
        <f t="shared" si="167"/>
        <v>0</v>
      </c>
      <c r="AX262" s="1">
        <f t="shared" si="168"/>
        <v>0</v>
      </c>
      <c r="AY262" s="23">
        <f t="shared" si="169"/>
        <v>1</v>
      </c>
      <c r="AZ262" s="23">
        <f t="shared" si="170"/>
        <v>1.311769991015274</v>
      </c>
      <c r="BA262" s="23">
        <f t="shared" si="171"/>
        <v>51.159029649595688</v>
      </c>
      <c r="BB262" s="23">
        <f t="shared" si="172"/>
        <v>127.89757412398922</v>
      </c>
      <c r="BC262" s="23">
        <f t="shared" si="173"/>
        <v>0</v>
      </c>
      <c r="BD262" s="23">
        <f t="shared" si="174"/>
        <v>127.89757412398922</v>
      </c>
    </row>
    <row r="263" spans="1:56">
      <c r="A263" s="1" t="s">
        <v>20</v>
      </c>
      <c r="B263" s="1" t="s">
        <v>32</v>
      </c>
      <c r="C263" s="1" t="s">
        <v>22</v>
      </c>
      <c r="D263" s="1" t="s">
        <v>33</v>
      </c>
      <c r="E263" s="51" t="s">
        <v>107</v>
      </c>
      <c r="F263" s="51" t="s">
        <v>114</v>
      </c>
      <c r="G263" s="51" t="s">
        <v>109</v>
      </c>
      <c r="H263" s="51" t="s">
        <v>315</v>
      </c>
      <c r="I263" s="1" t="s">
        <v>147</v>
      </c>
      <c r="J263" s="51" t="s">
        <v>112</v>
      </c>
      <c r="K263" s="51" t="s">
        <v>112</v>
      </c>
      <c r="L263" s="51" t="s">
        <v>112</v>
      </c>
      <c r="M263" s="1">
        <v>2037561</v>
      </c>
      <c r="N263" s="52" t="s">
        <v>552</v>
      </c>
      <c r="O263" s="55">
        <f t="shared" si="144"/>
        <v>42534</v>
      </c>
      <c r="P263" s="55">
        <f>DATE(2019,6,30)</f>
        <v>43646</v>
      </c>
      <c r="Q263" s="51">
        <v>3240</v>
      </c>
      <c r="S263" s="51">
        <v>2.5</v>
      </c>
      <c r="U263" s="1">
        <f t="shared" si="145"/>
        <v>1113</v>
      </c>
      <c r="V263" s="31">
        <f t="shared" si="146"/>
        <v>2.9110512129380055</v>
      </c>
      <c r="W263" s="31">
        <f t="shared" si="147"/>
        <v>1062.5336927223721</v>
      </c>
      <c r="X263" s="31">
        <f t="shared" si="148"/>
        <v>1.3281671159029651</v>
      </c>
      <c r="AA263" s="32">
        <f t="shared" si="149"/>
        <v>42552</v>
      </c>
      <c r="AB263" s="32">
        <f t="shared" si="150"/>
        <v>42735</v>
      </c>
      <c r="AC263" s="52">
        <v>36</v>
      </c>
      <c r="AD263" s="1">
        <f t="shared" si="151"/>
        <v>184</v>
      </c>
      <c r="AE263" s="1">
        <f t="shared" si="152"/>
        <v>0</v>
      </c>
      <c r="AF263" s="1">
        <f t="shared" si="153"/>
        <v>0</v>
      </c>
      <c r="AG263" s="1">
        <f t="shared" si="154"/>
        <v>0</v>
      </c>
      <c r="AH263" s="1">
        <f t="shared" si="155"/>
        <v>0</v>
      </c>
      <c r="AI263" s="23">
        <f t="shared" si="156"/>
        <v>1</v>
      </c>
      <c r="AJ263" s="23">
        <f t="shared" si="157"/>
        <v>1.3281671159029651</v>
      </c>
      <c r="AK263" s="23">
        <f t="shared" si="158"/>
        <v>47.81401617250674</v>
      </c>
      <c r="AL263" s="23">
        <f t="shared" si="159"/>
        <v>119.53504043126685</v>
      </c>
      <c r="AM263" s="23">
        <f t="shared" si="160"/>
        <v>0</v>
      </c>
      <c r="AN263" s="23">
        <f t="shared" si="161"/>
        <v>119.53504043126685</v>
      </c>
      <c r="AQ263" s="32">
        <f t="shared" si="162"/>
        <v>42736</v>
      </c>
      <c r="AR263" s="32">
        <f t="shared" si="163"/>
        <v>42916</v>
      </c>
      <c r="AS263" s="52">
        <v>36</v>
      </c>
      <c r="AT263" s="1">
        <f t="shared" si="164"/>
        <v>181</v>
      </c>
      <c r="AU263" s="1">
        <f t="shared" si="165"/>
        <v>0</v>
      </c>
      <c r="AV263" s="1">
        <f t="shared" si="166"/>
        <v>0</v>
      </c>
      <c r="AW263" s="1">
        <f t="shared" si="167"/>
        <v>0</v>
      </c>
      <c r="AX263" s="1">
        <f t="shared" si="168"/>
        <v>0</v>
      </c>
      <c r="AY263" s="23">
        <f t="shared" si="169"/>
        <v>1</v>
      </c>
      <c r="AZ263" s="23">
        <f t="shared" si="170"/>
        <v>1.3281671159029651</v>
      </c>
      <c r="BA263" s="23">
        <f t="shared" si="171"/>
        <v>47.81401617250674</v>
      </c>
      <c r="BB263" s="23">
        <f t="shared" si="172"/>
        <v>119.53504043126685</v>
      </c>
      <c r="BC263" s="23">
        <f t="shared" si="173"/>
        <v>0</v>
      </c>
      <c r="BD263" s="23">
        <f t="shared" si="174"/>
        <v>119.53504043126685</v>
      </c>
    </row>
    <row r="264" spans="1:56">
      <c r="A264" s="1" t="s">
        <v>20</v>
      </c>
      <c r="B264" s="1" t="s">
        <v>32</v>
      </c>
      <c r="C264" s="1" t="s">
        <v>22</v>
      </c>
      <c r="D264" s="1" t="s">
        <v>33</v>
      </c>
      <c r="E264" s="51" t="s">
        <v>107</v>
      </c>
      <c r="F264" s="51" t="s">
        <v>294</v>
      </c>
      <c r="G264" s="51" t="s">
        <v>109</v>
      </c>
      <c r="H264" s="51" t="s">
        <v>301</v>
      </c>
      <c r="I264" s="1" t="s">
        <v>111</v>
      </c>
      <c r="J264" s="51" t="s">
        <v>112</v>
      </c>
      <c r="K264" s="51" t="s">
        <v>112</v>
      </c>
      <c r="L264" s="51" t="s">
        <v>112</v>
      </c>
      <c r="M264" s="1">
        <v>2038127</v>
      </c>
      <c r="N264" s="52" t="s">
        <v>553</v>
      </c>
      <c r="O264" s="55">
        <f t="shared" si="144"/>
        <v>42534</v>
      </c>
      <c r="P264" s="55">
        <f>DATE(2019,6,30)</f>
        <v>43646</v>
      </c>
      <c r="Q264" s="51">
        <v>2672</v>
      </c>
      <c r="S264" s="51">
        <v>2</v>
      </c>
      <c r="U264" s="1">
        <f t="shared" si="145"/>
        <v>1113</v>
      </c>
      <c r="V264" s="31">
        <f t="shared" si="146"/>
        <v>2.4007187780772687</v>
      </c>
      <c r="W264" s="31">
        <f t="shared" si="147"/>
        <v>876.26235399820314</v>
      </c>
      <c r="X264" s="31">
        <f t="shared" si="148"/>
        <v>1.095327942497754</v>
      </c>
      <c r="AA264" s="32">
        <f t="shared" si="149"/>
        <v>42552</v>
      </c>
      <c r="AB264" s="32">
        <f t="shared" si="150"/>
        <v>42735</v>
      </c>
      <c r="AC264" s="52">
        <v>24</v>
      </c>
      <c r="AD264" s="1">
        <f t="shared" si="151"/>
        <v>184</v>
      </c>
      <c r="AE264" s="1">
        <f t="shared" si="152"/>
        <v>0</v>
      </c>
      <c r="AF264" s="1">
        <f t="shared" si="153"/>
        <v>0</v>
      </c>
      <c r="AG264" s="1">
        <f t="shared" si="154"/>
        <v>0</v>
      </c>
      <c r="AH264" s="1">
        <f t="shared" si="155"/>
        <v>0</v>
      </c>
      <c r="AI264" s="23">
        <f t="shared" si="156"/>
        <v>1</v>
      </c>
      <c r="AJ264" s="23">
        <f t="shared" si="157"/>
        <v>1.095327942497754</v>
      </c>
      <c r="AK264" s="23">
        <f t="shared" si="158"/>
        <v>26.287870619946098</v>
      </c>
      <c r="AL264" s="23">
        <f t="shared" si="159"/>
        <v>52.575741239892196</v>
      </c>
      <c r="AM264" s="23">
        <f t="shared" si="160"/>
        <v>0</v>
      </c>
      <c r="AN264" s="23">
        <f t="shared" si="161"/>
        <v>52.575741239892196</v>
      </c>
      <c r="AQ264" s="32">
        <f t="shared" si="162"/>
        <v>42736</v>
      </c>
      <c r="AR264" s="32">
        <f t="shared" si="163"/>
        <v>42916</v>
      </c>
      <c r="AS264" s="52">
        <v>24</v>
      </c>
      <c r="AT264" s="1">
        <f t="shared" si="164"/>
        <v>181</v>
      </c>
      <c r="AU264" s="1">
        <f t="shared" si="165"/>
        <v>0</v>
      </c>
      <c r="AV264" s="1">
        <f t="shared" si="166"/>
        <v>0</v>
      </c>
      <c r="AW264" s="1">
        <f t="shared" si="167"/>
        <v>0</v>
      </c>
      <c r="AX264" s="1">
        <f t="shared" si="168"/>
        <v>0</v>
      </c>
      <c r="AY264" s="23">
        <f t="shared" si="169"/>
        <v>1</v>
      </c>
      <c r="AZ264" s="23">
        <f t="shared" si="170"/>
        <v>1.095327942497754</v>
      </c>
      <c r="BA264" s="23">
        <f t="shared" si="171"/>
        <v>26.287870619946098</v>
      </c>
      <c r="BB264" s="23">
        <f t="shared" si="172"/>
        <v>52.575741239892196</v>
      </c>
      <c r="BC264" s="23">
        <f t="shared" si="173"/>
        <v>0</v>
      </c>
      <c r="BD264" s="23">
        <f t="shared" si="174"/>
        <v>52.575741239892196</v>
      </c>
    </row>
    <row r="265" spans="1:56">
      <c r="A265" s="1" t="s">
        <v>20</v>
      </c>
      <c r="B265" s="1" t="s">
        <v>32</v>
      </c>
      <c r="C265" s="1" t="s">
        <v>22</v>
      </c>
      <c r="D265" s="1" t="s">
        <v>33</v>
      </c>
      <c r="E265" s="51" t="s">
        <v>107</v>
      </c>
      <c r="F265" s="51" t="s">
        <v>439</v>
      </c>
      <c r="G265" s="51" t="s">
        <v>109</v>
      </c>
      <c r="H265" s="51" t="s">
        <v>554</v>
      </c>
      <c r="J265" s="51" t="s">
        <v>112</v>
      </c>
      <c r="K265" s="51" t="s">
        <v>112</v>
      </c>
      <c r="L265" s="51" t="s">
        <v>112</v>
      </c>
      <c r="M265" s="1">
        <v>2125080</v>
      </c>
      <c r="N265" s="52" t="s">
        <v>555</v>
      </c>
      <c r="O265" s="55">
        <f>DATE(2017,2,1)</f>
        <v>42767</v>
      </c>
      <c r="P265" s="55">
        <f>DATE(2018,6,30)</f>
        <v>43281</v>
      </c>
      <c r="Q265" s="51">
        <v>406</v>
      </c>
      <c r="S265" s="51">
        <v>2.5</v>
      </c>
      <c r="U265" s="1">
        <f t="shared" si="145"/>
        <v>515</v>
      </c>
      <c r="V265" s="31">
        <f t="shared" si="146"/>
        <v>0.78834951456310676</v>
      </c>
      <c r="W265" s="31">
        <f t="shared" si="147"/>
        <v>287.74757281553394</v>
      </c>
      <c r="X265" s="31">
        <f t="shared" si="148"/>
        <v>0.35968446601941745</v>
      </c>
      <c r="AA265" s="32">
        <f t="shared" si="149"/>
        <v>42552</v>
      </c>
      <c r="AB265" s="32">
        <f t="shared" si="150"/>
        <v>42735</v>
      </c>
      <c r="AC265" s="52">
        <v>0</v>
      </c>
      <c r="AD265" s="1">
        <f t="shared" si="151"/>
        <v>0</v>
      </c>
      <c r="AE265" s="1">
        <f t="shared" si="152"/>
        <v>0</v>
      </c>
      <c r="AF265" s="1">
        <f t="shared" si="153"/>
        <v>0</v>
      </c>
      <c r="AG265" s="1">
        <f t="shared" si="154"/>
        <v>0</v>
      </c>
      <c r="AH265" s="1">
        <f t="shared" si="155"/>
        <v>0</v>
      </c>
      <c r="AI265" s="23">
        <f t="shared" si="156"/>
        <v>0</v>
      </c>
      <c r="AJ265" s="23">
        <f t="shared" si="157"/>
        <v>0</v>
      </c>
      <c r="AK265" s="23">
        <f t="shared" si="158"/>
        <v>0</v>
      </c>
      <c r="AL265" s="23">
        <f t="shared" si="159"/>
        <v>0</v>
      </c>
      <c r="AM265" s="23">
        <f t="shared" si="160"/>
        <v>0</v>
      </c>
      <c r="AN265" s="23">
        <f t="shared" si="161"/>
        <v>0</v>
      </c>
      <c r="AQ265" s="32">
        <f t="shared" si="162"/>
        <v>42736</v>
      </c>
      <c r="AR265" s="32">
        <f t="shared" si="163"/>
        <v>42916</v>
      </c>
      <c r="AS265" s="52">
        <v>25</v>
      </c>
      <c r="AT265" s="1">
        <f t="shared" si="164"/>
        <v>0</v>
      </c>
      <c r="AU265" s="1">
        <f t="shared" si="165"/>
        <v>150</v>
      </c>
      <c r="AV265" s="1">
        <f t="shared" si="166"/>
        <v>0</v>
      </c>
      <c r="AW265" s="1">
        <f t="shared" si="167"/>
        <v>0</v>
      </c>
      <c r="AX265" s="1">
        <f t="shared" si="168"/>
        <v>0</v>
      </c>
      <c r="AY265" s="23">
        <f t="shared" si="169"/>
        <v>0.82872928176795579</v>
      </c>
      <c r="AZ265" s="23">
        <f t="shared" si="170"/>
        <v>0.2980810491873625</v>
      </c>
      <c r="BA265" s="23">
        <f t="shared" si="171"/>
        <v>7.4520262296840629</v>
      </c>
      <c r="BB265" s="23">
        <f t="shared" si="172"/>
        <v>18.630065574210157</v>
      </c>
      <c r="BC265" s="23">
        <f t="shared" si="173"/>
        <v>0</v>
      </c>
      <c r="BD265" s="23">
        <f t="shared" si="174"/>
        <v>18.630065574210157</v>
      </c>
    </row>
    <row r="266" spans="1:56">
      <c r="A266" s="1" t="s">
        <v>20</v>
      </c>
      <c r="B266" s="1" t="s">
        <v>32</v>
      </c>
      <c r="C266" s="1" t="s">
        <v>22</v>
      </c>
      <c r="D266" s="1" t="s">
        <v>33</v>
      </c>
      <c r="E266" s="51" t="s">
        <v>107</v>
      </c>
      <c r="F266" s="51" t="s">
        <v>556</v>
      </c>
      <c r="G266" s="51" t="s">
        <v>109</v>
      </c>
      <c r="H266" s="51" t="s">
        <v>557</v>
      </c>
      <c r="J266" s="51" t="s">
        <v>112</v>
      </c>
      <c r="K266" s="51" t="s">
        <v>112</v>
      </c>
      <c r="L266" s="51" t="s">
        <v>112</v>
      </c>
      <c r="M266" s="1">
        <v>2125300</v>
      </c>
      <c r="N266" s="52" t="s">
        <v>558</v>
      </c>
      <c r="O266" s="55">
        <f>DATE(2016,8,1)</f>
        <v>42583</v>
      </c>
      <c r="P266" s="55">
        <f>DATE(2018,7,30)</f>
        <v>43311</v>
      </c>
      <c r="Q266" s="51">
        <v>360</v>
      </c>
      <c r="S266" s="51">
        <v>3.75</v>
      </c>
      <c r="U266" s="1">
        <f t="shared" si="145"/>
        <v>729</v>
      </c>
      <c r="V266" s="31">
        <f t="shared" si="146"/>
        <v>0.49382716049382713</v>
      </c>
      <c r="W266" s="31">
        <f t="shared" si="147"/>
        <v>180.24691358024691</v>
      </c>
      <c r="X266" s="31">
        <f t="shared" si="148"/>
        <v>0.22530864197530864</v>
      </c>
      <c r="AA266" s="32">
        <f t="shared" si="149"/>
        <v>42552</v>
      </c>
      <c r="AB266" s="32">
        <f t="shared" si="150"/>
        <v>42735</v>
      </c>
      <c r="AC266" s="52">
        <v>14</v>
      </c>
      <c r="AD266" s="1">
        <f t="shared" si="151"/>
        <v>0</v>
      </c>
      <c r="AE266" s="1">
        <f t="shared" si="152"/>
        <v>153</v>
      </c>
      <c r="AF266" s="1">
        <f t="shared" si="153"/>
        <v>0</v>
      </c>
      <c r="AG266" s="1">
        <f t="shared" si="154"/>
        <v>0</v>
      </c>
      <c r="AH266" s="1">
        <f t="shared" si="155"/>
        <v>0</v>
      </c>
      <c r="AI266" s="23">
        <f t="shared" si="156"/>
        <v>0.83152173913043481</v>
      </c>
      <c r="AJ266" s="23">
        <f t="shared" si="157"/>
        <v>0.18734903381642512</v>
      </c>
      <c r="AK266" s="23">
        <f t="shared" si="158"/>
        <v>2.6228864734299515</v>
      </c>
      <c r="AL266" s="23">
        <f t="shared" si="159"/>
        <v>9.8358242753623184</v>
      </c>
      <c r="AM266" s="23">
        <f t="shared" si="160"/>
        <v>0</v>
      </c>
      <c r="AN266" s="23">
        <f t="shared" si="161"/>
        <v>9.8358242753623184</v>
      </c>
      <c r="AQ266" s="32">
        <f t="shared" si="162"/>
        <v>42736</v>
      </c>
      <c r="AR266" s="32">
        <f t="shared" si="163"/>
        <v>42916</v>
      </c>
      <c r="AS266" s="52">
        <v>13</v>
      </c>
      <c r="AT266" s="1">
        <f t="shared" si="164"/>
        <v>181</v>
      </c>
      <c r="AU266" s="1">
        <f t="shared" si="165"/>
        <v>0</v>
      </c>
      <c r="AV266" s="1">
        <f t="shared" si="166"/>
        <v>0</v>
      </c>
      <c r="AW266" s="1">
        <f t="shared" si="167"/>
        <v>0</v>
      </c>
      <c r="AX266" s="1">
        <f t="shared" si="168"/>
        <v>0</v>
      </c>
      <c r="AY266" s="23">
        <f t="shared" si="169"/>
        <v>1</v>
      </c>
      <c r="AZ266" s="23">
        <f t="shared" si="170"/>
        <v>0.22530864197530864</v>
      </c>
      <c r="BA266" s="23">
        <f t="shared" si="171"/>
        <v>2.9290123456790123</v>
      </c>
      <c r="BB266" s="23">
        <f t="shared" si="172"/>
        <v>10.983796296296296</v>
      </c>
      <c r="BC266" s="23">
        <f t="shared" si="173"/>
        <v>0</v>
      </c>
      <c r="BD266" s="23">
        <f t="shared" si="174"/>
        <v>10.983796296296296</v>
      </c>
    </row>
    <row r="267" spans="1:56">
      <c r="A267" s="1" t="s">
        <v>20</v>
      </c>
      <c r="B267" s="1" t="s">
        <v>32</v>
      </c>
      <c r="C267" s="1" t="s">
        <v>22</v>
      </c>
      <c r="D267" s="1" t="s">
        <v>33</v>
      </c>
      <c r="E267" s="51" t="s">
        <v>107</v>
      </c>
      <c r="F267" s="51" t="s">
        <v>108</v>
      </c>
      <c r="G267" s="51" t="s">
        <v>109</v>
      </c>
      <c r="H267" s="51" t="s">
        <v>285</v>
      </c>
      <c r="I267" s="1" t="s">
        <v>125</v>
      </c>
      <c r="J267" s="51" t="s">
        <v>112</v>
      </c>
      <c r="K267" s="51" t="s">
        <v>112</v>
      </c>
      <c r="L267" s="51" t="s">
        <v>112</v>
      </c>
      <c r="M267" s="1">
        <v>2125969</v>
      </c>
      <c r="N267" s="52" t="s">
        <v>559</v>
      </c>
      <c r="O267" s="55">
        <f t="shared" ref="O267:O274" si="175">DATE(2017,1,17)</f>
        <v>42752</v>
      </c>
      <c r="P267" s="55">
        <f>DATE(2018,7,30)</f>
        <v>43311</v>
      </c>
      <c r="Q267" s="51">
        <v>1340</v>
      </c>
      <c r="S267" s="51">
        <v>2.5</v>
      </c>
      <c r="U267" s="1">
        <f t="shared" si="145"/>
        <v>560</v>
      </c>
      <c r="V267" s="31">
        <f t="shared" si="146"/>
        <v>2.3928571428571428</v>
      </c>
      <c r="W267" s="31">
        <f t="shared" si="147"/>
        <v>873.39285714285711</v>
      </c>
      <c r="X267" s="31">
        <f t="shared" si="148"/>
        <v>1.0917410714285714</v>
      </c>
      <c r="AA267" s="32">
        <f t="shared" si="149"/>
        <v>42552</v>
      </c>
      <c r="AB267" s="32">
        <f t="shared" si="150"/>
        <v>42735</v>
      </c>
      <c r="AC267" s="49">
        <v>0</v>
      </c>
      <c r="AD267" s="1">
        <f t="shared" si="151"/>
        <v>0</v>
      </c>
      <c r="AE267" s="1">
        <f t="shared" si="152"/>
        <v>0</v>
      </c>
      <c r="AF267" s="1">
        <f t="shared" si="153"/>
        <v>0</v>
      </c>
      <c r="AG267" s="1">
        <f t="shared" si="154"/>
        <v>0</v>
      </c>
      <c r="AH267" s="1">
        <f t="shared" si="155"/>
        <v>0</v>
      </c>
      <c r="AI267" s="23">
        <f t="shared" si="156"/>
        <v>0</v>
      </c>
      <c r="AJ267" s="23">
        <f t="shared" si="157"/>
        <v>0</v>
      </c>
      <c r="AK267" s="23">
        <f t="shared" si="158"/>
        <v>0</v>
      </c>
      <c r="AL267" s="23">
        <f t="shared" si="159"/>
        <v>0</v>
      </c>
      <c r="AM267" s="23">
        <f t="shared" si="160"/>
        <v>0</v>
      </c>
      <c r="AN267" s="23">
        <f t="shared" si="161"/>
        <v>0</v>
      </c>
      <c r="AQ267" s="32">
        <f t="shared" si="162"/>
        <v>42736</v>
      </c>
      <c r="AR267" s="32">
        <f t="shared" si="163"/>
        <v>42916</v>
      </c>
      <c r="AS267" s="52">
        <v>16</v>
      </c>
      <c r="AT267" s="1">
        <f t="shared" si="164"/>
        <v>0</v>
      </c>
      <c r="AU267" s="1">
        <f t="shared" si="165"/>
        <v>165</v>
      </c>
      <c r="AV267" s="1">
        <f t="shared" si="166"/>
        <v>0</v>
      </c>
      <c r="AW267" s="1">
        <f t="shared" si="167"/>
        <v>0</v>
      </c>
      <c r="AX267" s="1">
        <f t="shared" si="168"/>
        <v>0</v>
      </c>
      <c r="AY267" s="23">
        <f t="shared" si="169"/>
        <v>0.91160220994475138</v>
      </c>
      <c r="AZ267" s="23">
        <f t="shared" si="170"/>
        <v>0.99523357340173635</v>
      </c>
      <c r="BA267" s="23">
        <f t="shared" si="171"/>
        <v>15.923737174427782</v>
      </c>
      <c r="BB267" s="23">
        <f t="shared" si="172"/>
        <v>39.809342936069456</v>
      </c>
      <c r="BC267" s="23">
        <f t="shared" si="173"/>
        <v>0</v>
      </c>
      <c r="BD267" s="23">
        <f t="shared" si="174"/>
        <v>39.809342936069456</v>
      </c>
    </row>
    <row r="268" spans="1:56">
      <c r="A268" s="1" t="s">
        <v>20</v>
      </c>
      <c r="B268" s="1" t="s">
        <v>32</v>
      </c>
      <c r="C268" s="1" t="s">
        <v>22</v>
      </c>
      <c r="D268" s="1" t="s">
        <v>33</v>
      </c>
      <c r="E268" s="51" t="s">
        <v>107</v>
      </c>
      <c r="F268" s="51" t="s">
        <v>108</v>
      </c>
      <c r="G268" s="51" t="s">
        <v>109</v>
      </c>
      <c r="H268" s="51" t="s">
        <v>273</v>
      </c>
      <c r="I268" s="1" t="s">
        <v>128</v>
      </c>
      <c r="J268" s="51" t="s">
        <v>112</v>
      </c>
      <c r="K268" s="51" t="s">
        <v>112</v>
      </c>
      <c r="L268" s="51" t="s">
        <v>112</v>
      </c>
      <c r="M268" s="1">
        <v>2125972</v>
      </c>
      <c r="N268" s="52" t="s">
        <v>560</v>
      </c>
      <c r="O268" s="55">
        <f t="shared" si="175"/>
        <v>42752</v>
      </c>
      <c r="P268" s="55">
        <f>DATE(2019,1,30)</f>
        <v>43495</v>
      </c>
      <c r="Q268" s="51">
        <v>1200</v>
      </c>
      <c r="S268" s="51">
        <v>2.5</v>
      </c>
      <c r="U268" s="1">
        <f t="shared" si="145"/>
        <v>744</v>
      </c>
      <c r="V268" s="31">
        <f t="shared" si="146"/>
        <v>1.6129032258064515</v>
      </c>
      <c r="W268" s="31">
        <f t="shared" si="147"/>
        <v>588.70967741935476</v>
      </c>
      <c r="X268" s="31">
        <f t="shared" si="148"/>
        <v>0.73588709677419351</v>
      </c>
      <c r="AA268" s="32">
        <f t="shared" si="149"/>
        <v>42552</v>
      </c>
      <c r="AB268" s="32">
        <f t="shared" si="150"/>
        <v>42735</v>
      </c>
      <c r="AC268" s="49">
        <v>0</v>
      </c>
      <c r="AD268" s="1">
        <f t="shared" si="151"/>
        <v>0</v>
      </c>
      <c r="AE268" s="1">
        <f t="shared" si="152"/>
        <v>0</v>
      </c>
      <c r="AF268" s="1">
        <f t="shared" si="153"/>
        <v>0</v>
      </c>
      <c r="AG268" s="1">
        <f t="shared" si="154"/>
        <v>0</v>
      </c>
      <c r="AH268" s="1">
        <f t="shared" si="155"/>
        <v>0</v>
      </c>
      <c r="AI268" s="23">
        <f t="shared" si="156"/>
        <v>0</v>
      </c>
      <c r="AJ268" s="23">
        <f t="shared" si="157"/>
        <v>0</v>
      </c>
      <c r="AK268" s="23">
        <f t="shared" si="158"/>
        <v>0</v>
      </c>
      <c r="AL268" s="23">
        <f t="shared" si="159"/>
        <v>0</v>
      </c>
      <c r="AM268" s="23">
        <f t="shared" si="160"/>
        <v>0</v>
      </c>
      <c r="AN268" s="23">
        <f t="shared" si="161"/>
        <v>0</v>
      </c>
      <c r="AQ268" s="32">
        <f t="shared" si="162"/>
        <v>42736</v>
      </c>
      <c r="AR268" s="32">
        <f t="shared" si="163"/>
        <v>42916</v>
      </c>
      <c r="AS268" s="52">
        <v>30</v>
      </c>
      <c r="AT268" s="1">
        <f t="shared" si="164"/>
        <v>0</v>
      </c>
      <c r="AU268" s="1">
        <f t="shared" si="165"/>
        <v>165</v>
      </c>
      <c r="AV268" s="1">
        <f t="shared" si="166"/>
        <v>0</v>
      </c>
      <c r="AW268" s="1">
        <f t="shared" si="167"/>
        <v>0</v>
      </c>
      <c r="AX268" s="1">
        <f t="shared" si="168"/>
        <v>0</v>
      </c>
      <c r="AY268" s="23">
        <f t="shared" si="169"/>
        <v>0.91160220994475138</v>
      </c>
      <c r="AZ268" s="23">
        <f t="shared" si="170"/>
        <v>0.6708363036891819</v>
      </c>
      <c r="BA268" s="23">
        <f t="shared" si="171"/>
        <v>20.125089110675457</v>
      </c>
      <c r="BB268" s="23">
        <f t="shared" si="172"/>
        <v>50.312722776688645</v>
      </c>
      <c r="BC268" s="23">
        <f t="shared" si="173"/>
        <v>0</v>
      </c>
      <c r="BD268" s="23">
        <f t="shared" si="174"/>
        <v>50.312722776688645</v>
      </c>
    </row>
    <row r="269" spans="1:56">
      <c r="A269" s="1" t="s">
        <v>20</v>
      </c>
      <c r="B269" s="1" t="s">
        <v>32</v>
      </c>
      <c r="C269" s="1" t="s">
        <v>22</v>
      </c>
      <c r="D269" s="1" t="s">
        <v>33</v>
      </c>
      <c r="E269" s="51" t="s">
        <v>107</v>
      </c>
      <c r="F269" s="51" t="s">
        <v>108</v>
      </c>
      <c r="G269" s="51" t="s">
        <v>109</v>
      </c>
      <c r="H269" s="51" t="s">
        <v>351</v>
      </c>
      <c r="I269" s="1" t="s">
        <v>125</v>
      </c>
      <c r="J269" s="51" t="s">
        <v>112</v>
      </c>
      <c r="K269" s="51" t="s">
        <v>112</v>
      </c>
      <c r="L269" s="51" t="s">
        <v>112</v>
      </c>
      <c r="M269" s="1">
        <v>2125974</v>
      </c>
      <c r="N269" s="52" t="s">
        <v>561</v>
      </c>
      <c r="O269" s="55">
        <f t="shared" si="175"/>
        <v>42752</v>
      </c>
      <c r="P269" s="55">
        <f>DATE(2018,7,30)</f>
        <v>43311</v>
      </c>
      <c r="Q269" s="51">
        <v>1360</v>
      </c>
      <c r="S269" s="51">
        <v>2</v>
      </c>
      <c r="U269" s="1">
        <f t="shared" si="145"/>
        <v>560</v>
      </c>
      <c r="V269" s="31">
        <f t="shared" si="146"/>
        <v>2.4285714285714284</v>
      </c>
      <c r="W269" s="31">
        <f t="shared" si="147"/>
        <v>886.42857142857133</v>
      </c>
      <c r="X269" s="31">
        <f t="shared" si="148"/>
        <v>1.1080357142857142</v>
      </c>
      <c r="AA269" s="32">
        <f t="shared" si="149"/>
        <v>42552</v>
      </c>
      <c r="AB269" s="32">
        <f t="shared" si="150"/>
        <v>42735</v>
      </c>
      <c r="AC269" s="49">
        <v>0</v>
      </c>
      <c r="AD269" s="1">
        <f t="shared" si="151"/>
        <v>0</v>
      </c>
      <c r="AE269" s="1">
        <f t="shared" si="152"/>
        <v>0</v>
      </c>
      <c r="AF269" s="1">
        <f t="shared" si="153"/>
        <v>0</v>
      </c>
      <c r="AG269" s="1">
        <f t="shared" si="154"/>
        <v>0</v>
      </c>
      <c r="AH269" s="1">
        <f t="shared" si="155"/>
        <v>0</v>
      </c>
      <c r="AI269" s="23">
        <f t="shared" si="156"/>
        <v>0</v>
      </c>
      <c r="AJ269" s="23">
        <f t="shared" si="157"/>
        <v>0</v>
      </c>
      <c r="AK269" s="23">
        <f t="shared" si="158"/>
        <v>0</v>
      </c>
      <c r="AL269" s="23">
        <f t="shared" si="159"/>
        <v>0</v>
      </c>
      <c r="AM269" s="23">
        <f t="shared" si="160"/>
        <v>0</v>
      </c>
      <c r="AN269" s="23">
        <f t="shared" si="161"/>
        <v>0</v>
      </c>
      <c r="AQ269" s="32">
        <f t="shared" si="162"/>
        <v>42736</v>
      </c>
      <c r="AR269" s="32">
        <f t="shared" si="163"/>
        <v>42916</v>
      </c>
      <c r="AS269" s="52">
        <v>15</v>
      </c>
      <c r="AT269" s="1">
        <f t="shared" si="164"/>
        <v>0</v>
      </c>
      <c r="AU269" s="1">
        <f t="shared" si="165"/>
        <v>165</v>
      </c>
      <c r="AV269" s="1">
        <f t="shared" si="166"/>
        <v>0</v>
      </c>
      <c r="AW269" s="1">
        <f t="shared" si="167"/>
        <v>0</v>
      </c>
      <c r="AX269" s="1">
        <f t="shared" si="168"/>
        <v>0</v>
      </c>
      <c r="AY269" s="23">
        <f t="shared" si="169"/>
        <v>0.91160220994475138</v>
      </c>
      <c r="AZ269" s="23">
        <f t="shared" si="170"/>
        <v>1.0100878058405682</v>
      </c>
      <c r="BA269" s="23">
        <f t="shared" si="171"/>
        <v>15.151317087608524</v>
      </c>
      <c r="BB269" s="23">
        <f t="shared" si="172"/>
        <v>30.302634175217047</v>
      </c>
      <c r="BC269" s="23">
        <f t="shared" si="173"/>
        <v>0</v>
      </c>
      <c r="BD269" s="23">
        <f t="shared" si="174"/>
        <v>30.302634175217047</v>
      </c>
    </row>
    <row r="270" spans="1:56">
      <c r="A270" s="1" t="s">
        <v>20</v>
      </c>
      <c r="B270" s="1" t="s">
        <v>32</v>
      </c>
      <c r="C270" s="1" t="s">
        <v>22</v>
      </c>
      <c r="D270" s="1" t="s">
        <v>33</v>
      </c>
      <c r="E270" s="51" t="s">
        <v>107</v>
      </c>
      <c r="F270" s="51" t="s">
        <v>108</v>
      </c>
      <c r="G270" s="51" t="s">
        <v>109</v>
      </c>
      <c r="H270" s="51" t="s">
        <v>156</v>
      </c>
      <c r="I270" s="1" t="s">
        <v>128</v>
      </c>
      <c r="J270" s="51" t="s">
        <v>112</v>
      </c>
      <c r="K270" s="51" t="s">
        <v>112</v>
      </c>
      <c r="L270" s="51" t="s">
        <v>112</v>
      </c>
      <c r="M270" s="1">
        <v>2125975</v>
      </c>
      <c r="N270" s="52" t="s">
        <v>562</v>
      </c>
      <c r="O270" s="55">
        <f t="shared" si="175"/>
        <v>42752</v>
      </c>
      <c r="P270" s="55">
        <f>DATE(2019,1,30)</f>
        <v>43495</v>
      </c>
      <c r="Q270" s="51">
        <v>1500</v>
      </c>
      <c r="S270" s="51">
        <v>2.5</v>
      </c>
      <c r="U270" s="1">
        <f t="shared" si="145"/>
        <v>744</v>
      </c>
      <c r="V270" s="31">
        <f t="shared" si="146"/>
        <v>2.0161290322580645</v>
      </c>
      <c r="W270" s="31">
        <f t="shared" si="147"/>
        <v>735.88709677419354</v>
      </c>
      <c r="X270" s="31">
        <f t="shared" si="148"/>
        <v>0.91985887096774188</v>
      </c>
      <c r="AA270" s="32">
        <f t="shared" si="149"/>
        <v>42552</v>
      </c>
      <c r="AB270" s="32">
        <f t="shared" si="150"/>
        <v>42735</v>
      </c>
      <c r="AC270" s="49">
        <v>0</v>
      </c>
      <c r="AD270" s="1">
        <f t="shared" si="151"/>
        <v>0</v>
      </c>
      <c r="AE270" s="1">
        <f t="shared" si="152"/>
        <v>0</v>
      </c>
      <c r="AF270" s="1">
        <f t="shared" si="153"/>
        <v>0</v>
      </c>
      <c r="AG270" s="1">
        <f t="shared" si="154"/>
        <v>0</v>
      </c>
      <c r="AH270" s="1">
        <f t="shared" si="155"/>
        <v>0</v>
      </c>
      <c r="AI270" s="23">
        <f t="shared" si="156"/>
        <v>0</v>
      </c>
      <c r="AJ270" s="23">
        <f t="shared" si="157"/>
        <v>0</v>
      </c>
      <c r="AK270" s="23">
        <f t="shared" si="158"/>
        <v>0</v>
      </c>
      <c r="AL270" s="23">
        <f t="shared" si="159"/>
        <v>0</v>
      </c>
      <c r="AM270" s="23">
        <f t="shared" si="160"/>
        <v>0</v>
      </c>
      <c r="AN270" s="23">
        <f t="shared" si="161"/>
        <v>0</v>
      </c>
      <c r="AQ270" s="32">
        <f t="shared" si="162"/>
        <v>42736</v>
      </c>
      <c r="AR270" s="32">
        <f t="shared" si="163"/>
        <v>42916</v>
      </c>
      <c r="AS270" s="52">
        <v>6</v>
      </c>
      <c r="AT270" s="1">
        <f t="shared" si="164"/>
        <v>0</v>
      </c>
      <c r="AU270" s="1">
        <f t="shared" si="165"/>
        <v>165</v>
      </c>
      <c r="AV270" s="1">
        <f t="shared" si="166"/>
        <v>0</v>
      </c>
      <c r="AW270" s="1">
        <f t="shared" si="167"/>
        <v>0</v>
      </c>
      <c r="AX270" s="1">
        <f t="shared" si="168"/>
        <v>0</v>
      </c>
      <c r="AY270" s="23">
        <f t="shared" si="169"/>
        <v>0.91160220994475138</v>
      </c>
      <c r="AZ270" s="23">
        <f t="shared" si="170"/>
        <v>0.83854537961147746</v>
      </c>
      <c r="BA270" s="23">
        <f t="shared" si="171"/>
        <v>5.0312722776688652</v>
      </c>
      <c r="BB270" s="23">
        <f t="shared" si="172"/>
        <v>12.578180694172163</v>
      </c>
      <c r="BC270" s="23">
        <f t="shared" si="173"/>
        <v>0</v>
      </c>
      <c r="BD270" s="23">
        <f t="shared" si="174"/>
        <v>12.578180694172163</v>
      </c>
    </row>
    <row r="271" spans="1:56">
      <c r="A271" s="1" t="s">
        <v>20</v>
      </c>
      <c r="B271" s="1" t="s">
        <v>32</v>
      </c>
      <c r="C271" s="1" t="s">
        <v>22</v>
      </c>
      <c r="D271" s="1" t="s">
        <v>33</v>
      </c>
      <c r="E271" s="51" t="s">
        <v>107</v>
      </c>
      <c r="F271" s="51" t="s">
        <v>108</v>
      </c>
      <c r="G271" s="51" t="s">
        <v>109</v>
      </c>
      <c r="H271" s="51" t="s">
        <v>283</v>
      </c>
      <c r="I271" s="1" t="s">
        <v>128</v>
      </c>
      <c r="J271" s="51" t="s">
        <v>112</v>
      </c>
      <c r="K271" s="51" t="s">
        <v>112</v>
      </c>
      <c r="L271" s="51" t="s">
        <v>112</v>
      </c>
      <c r="M271" s="1">
        <v>2125976</v>
      </c>
      <c r="N271" s="52" t="s">
        <v>563</v>
      </c>
      <c r="O271" s="55">
        <f t="shared" si="175"/>
        <v>42752</v>
      </c>
      <c r="P271" s="55">
        <f>DATE(2019,1,30)</f>
        <v>43495</v>
      </c>
      <c r="Q271" s="51">
        <v>1200</v>
      </c>
      <c r="S271" s="51">
        <v>2.5</v>
      </c>
      <c r="U271" s="1">
        <f t="shared" si="145"/>
        <v>744</v>
      </c>
      <c r="V271" s="31">
        <f t="shared" si="146"/>
        <v>1.6129032258064515</v>
      </c>
      <c r="W271" s="31">
        <f t="shared" si="147"/>
        <v>588.70967741935476</v>
      </c>
      <c r="X271" s="31">
        <f t="shared" si="148"/>
        <v>0.73588709677419351</v>
      </c>
      <c r="AA271" s="32">
        <f t="shared" si="149"/>
        <v>42552</v>
      </c>
      <c r="AB271" s="32">
        <f t="shared" si="150"/>
        <v>42735</v>
      </c>
      <c r="AC271" s="49">
        <v>0</v>
      </c>
      <c r="AD271" s="1">
        <f t="shared" si="151"/>
        <v>0</v>
      </c>
      <c r="AE271" s="1">
        <f t="shared" si="152"/>
        <v>0</v>
      </c>
      <c r="AF271" s="1">
        <f t="shared" si="153"/>
        <v>0</v>
      </c>
      <c r="AG271" s="1">
        <f t="shared" si="154"/>
        <v>0</v>
      </c>
      <c r="AH271" s="1">
        <f t="shared" si="155"/>
        <v>0</v>
      </c>
      <c r="AI271" s="23">
        <f t="shared" si="156"/>
        <v>0</v>
      </c>
      <c r="AJ271" s="23">
        <f t="shared" si="157"/>
        <v>0</v>
      </c>
      <c r="AK271" s="23">
        <f t="shared" si="158"/>
        <v>0</v>
      </c>
      <c r="AL271" s="23">
        <f t="shared" si="159"/>
        <v>0</v>
      </c>
      <c r="AM271" s="23">
        <f t="shared" si="160"/>
        <v>0</v>
      </c>
      <c r="AN271" s="23">
        <f t="shared" si="161"/>
        <v>0</v>
      </c>
      <c r="AQ271" s="32">
        <f t="shared" si="162"/>
        <v>42736</v>
      </c>
      <c r="AR271" s="32">
        <f t="shared" si="163"/>
        <v>42916</v>
      </c>
      <c r="AS271" s="52">
        <v>28</v>
      </c>
      <c r="AT271" s="1">
        <f t="shared" si="164"/>
        <v>0</v>
      </c>
      <c r="AU271" s="1">
        <f t="shared" si="165"/>
        <v>165</v>
      </c>
      <c r="AV271" s="1">
        <f t="shared" si="166"/>
        <v>0</v>
      </c>
      <c r="AW271" s="1">
        <f t="shared" si="167"/>
        <v>0</v>
      </c>
      <c r="AX271" s="1">
        <f t="shared" si="168"/>
        <v>0</v>
      </c>
      <c r="AY271" s="23">
        <f t="shared" si="169"/>
        <v>0.91160220994475138</v>
      </c>
      <c r="AZ271" s="23">
        <f t="shared" si="170"/>
        <v>0.6708363036891819</v>
      </c>
      <c r="BA271" s="23">
        <f t="shared" si="171"/>
        <v>18.783416503297094</v>
      </c>
      <c r="BB271" s="23">
        <f t="shared" si="172"/>
        <v>46.958541258242732</v>
      </c>
      <c r="BC271" s="23">
        <f t="shared" si="173"/>
        <v>0</v>
      </c>
      <c r="BD271" s="23">
        <f t="shared" si="174"/>
        <v>46.958541258242732</v>
      </c>
    </row>
    <row r="272" spans="1:56">
      <c r="A272" s="1" t="s">
        <v>20</v>
      </c>
      <c r="B272" s="1" t="s">
        <v>32</v>
      </c>
      <c r="C272" s="1" t="s">
        <v>22</v>
      </c>
      <c r="D272" s="1" t="s">
        <v>33</v>
      </c>
      <c r="E272" s="51" t="s">
        <v>107</v>
      </c>
      <c r="F272" s="51" t="s">
        <v>108</v>
      </c>
      <c r="G272" s="51" t="s">
        <v>109</v>
      </c>
      <c r="H272" s="51" t="s">
        <v>179</v>
      </c>
      <c r="I272" s="1" t="s">
        <v>125</v>
      </c>
      <c r="J272" s="51" t="s">
        <v>112</v>
      </c>
      <c r="K272" s="51" t="s">
        <v>112</v>
      </c>
      <c r="L272" s="51" t="s">
        <v>112</v>
      </c>
      <c r="M272" s="1">
        <v>2125978</v>
      </c>
      <c r="N272" s="52" t="s">
        <v>564</v>
      </c>
      <c r="O272" s="55">
        <f t="shared" si="175"/>
        <v>42752</v>
      </c>
      <c r="P272" s="55">
        <f>DATE(2018,7,30)</f>
        <v>43311</v>
      </c>
      <c r="Q272" s="51">
        <v>1480</v>
      </c>
      <c r="S272" s="51">
        <v>2</v>
      </c>
      <c r="U272" s="1">
        <f t="shared" si="145"/>
        <v>560</v>
      </c>
      <c r="V272" s="31">
        <f t="shared" si="146"/>
        <v>2.6428571428571428</v>
      </c>
      <c r="W272" s="31">
        <f t="shared" si="147"/>
        <v>964.64285714285711</v>
      </c>
      <c r="X272" s="31">
        <f t="shared" si="148"/>
        <v>1.2058035714285713</v>
      </c>
      <c r="AA272" s="32">
        <f t="shared" si="149"/>
        <v>42552</v>
      </c>
      <c r="AB272" s="32">
        <f t="shared" si="150"/>
        <v>42735</v>
      </c>
      <c r="AC272" s="49">
        <v>0</v>
      </c>
      <c r="AD272" s="1">
        <f t="shared" si="151"/>
        <v>0</v>
      </c>
      <c r="AE272" s="1">
        <f t="shared" si="152"/>
        <v>0</v>
      </c>
      <c r="AF272" s="1">
        <f t="shared" si="153"/>
        <v>0</v>
      </c>
      <c r="AG272" s="1">
        <f t="shared" si="154"/>
        <v>0</v>
      </c>
      <c r="AH272" s="1">
        <f t="shared" si="155"/>
        <v>0</v>
      </c>
      <c r="AI272" s="23">
        <f t="shared" si="156"/>
        <v>0</v>
      </c>
      <c r="AJ272" s="23">
        <f t="shared" si="157"/>
        <v>0</v>
      </c>
      <c r="AK272" s="23">
        <f t="shared" si="158"/>
        <v>0</v>
      </c>
      <c r="AL272" s="23">
        <f t="shared" si="159"/>
        <v>0</v>
      </c>
      <c r="AM272" s="23">
        <f t="shared" si="160"/>
        <v>0</v>
      </c>
      <c r="AN272" s="23">
        <f t="shared" si="161"/>
        <v>0</v>
      </c>
      <c r="AQ272" s="32">
        <f t="shared" si="162"/>
        <v>42736</v>
      </c>
      <c r="AR272" s="32">
        <f t="shared" si="163"/>
        <v>42916</v>
      </c>
      <c r="AS272" s="52">
        <v>19</v>
      </c>
      <c r="AT272" s="1">
        <f t="shared" si="164"/>
        <v>0</v>
      </c>
      <c r="AU272" s="1">
        <f t="shared" si="165"/>
        <v>165</v>
      </c>
      <c r="AV272" s="1">
        <f t="shared" si="166"/>
        <v>0</v>
      </c>
      <c r="AW272" s="1">
        <f t="shared" si="167"/>
        <v>0</v>
      </c>
      <c r="AX272" s="1">
        <f t="shared" si="168"/>
        <v>0</v>
      </c>
      <c r="AY272" s="23">
        <f t="shared" si="169"/>
        <v>0.91160220994475138</v>
      </c>
      <c r="AZ272" s="23">
        <f t="shared" si="170"/>
        <v>1.0992132004735595</v>
      </c>
      <c r="BA272" s="23">
        <f t="shared" si="171"/>
        <v>20.885050808997629</v>
      </c>
      <c r="BB272" s="23">
        <f t="shared" si="172"/>
        <v>41.770101617995259</v>
      </c>
      <c r="BC272" s="23">
        <f t="shared" si="173"/>
        <v>0</v>
      </c>
      <c r="BD272" s="23">
        <f t="shared" si="174"/>
        <v>41.770101617995259</v>
      </c>
    </row>
    <row r="273" spans="1:56">
      <c r="A273" s="1" t="s">
        <v>20</v>
      </c>
      <c r="B273" s="1" t="s">
        <v>32</v>
      </c>
      <c r="C273" s="1" t="s">
        <v>22</v>
      </c>
      <c r="D273" s="1" t="s">
        <v>33</v>
      </c>
      <c r="E273" s="51" t="s">
        <v>107</v>
      </c>
      <c r="F273" s="51" t="s">
        <v>108</v>
      </c>
      <c r="G273" s="51" t="s">
        <v>109</v>
      </c>
      <c r="H273" s="51" t="s">
        <v>287</v>
      </c>
      <c r="I273" s="1" t="s">
        <v>111</v>
      </c>
      <c r="J273" s="51" t="s">
        <v>112</v>
      </c>
      <c r="K273" s="51" t="s">
        <v>112</v>
      </c>
      <c r="L273" s="51" t="s">
        <v>112</v>
      </c>
      <c r="M273" s="1">
        <v>2125981</v>
      </c>
      <c r="N273" s="52" t="s">
        <v>565</v>
      </c>
      <c r="O273" s="55">
        <f t="shared" si="175"/>
        <v>42752</v>
      </c>
      <c r="P273" s="55">
        <f>DATE(2019,1,30)</f>
        <v>43495</v>
      </c>
      <c r="Q273" s="51">
        <v>3227</v>
      </c>
      <c r="S273" s="51">
        <v>2.5</v>
      </c>
      <c r="U273" s="1">
        <f t="shared" si="145"/>
        <v>744</v>
      </c>
      <c r="V273" s="31">
        <f t="shared" si="146"/>
        <v>4.3373655913978491</v>
      </c>
      <c r="W273" s="31">
        <f t="shared" si="147"/>
        <v>1583.1384408602148</v>
      </c>
      <c r="X273" s="31">
        <f t="shared" si="148"/>
        <v>1.9789230510752684</v>
      </c>
      <c r="AA273" s="32">
        <f t="shared" si="149"/>
        <v>42552</v>
      </c>
      <c r="AB273" s="32">
        <f t="shared" si="150"/>
        <v>42735</v>
      </c>
      <c r="AC273" s="49">
        <v>0</v>
      </c>
      <c r="AD273" s="1">
        <f t="shared" si="151"/>
        <v>0</v>
      </c>
      <c r="AE273" s="1">
        <f t="shared" si="152"/>
        <v>0</v>
      </c>
      <c r="AF273" s="1">
        <f t="shared" si="153"/>
        <v>0</v>
      </c>
      <c r="AG273" s="1">
        <f t="shared" si="154"/>
        <v>0</v>
      </c>
      <c r="AH273" s="1">
        <f t="shared" si="155"/>
        <v>0</v>
      </c>
      <c r="AI273" s="23">
        <f t="shared" si="156"/>
        <v>0</v>
      </c>
      <c r="AJ273" s="23">
        <f t="shared" si="157"/>
        <v>0</v>
      </c>
      <c r="AK273" s="23">
        <f t="shared" si="158"/>
        <v>0</v>
      </c>
      <c r="AL273" s="23">
        <f t="shared" si="159"/>
        <v>0</v>
      </c>
      <c r="AM273" s="23">
        <f t="shared" si="160"/>
        <v>0</v>
      </c>
      <c r="AN273" s="23">
        <f t="shared" si="161"/>
        <v>0</v>
      </c>
      <c r="AQ273" s="32">
        <f t="shared" si="162"/>
        <v>42736</v>
      </c>
      <c r="AR273" s="32">
        <f t="shared" si="163"/>
        <v>42916</v>
      </c>
      <c r="AS273" s="52">
        <v>32</v>
      </c>
      <c r="AT273" s="1">
        <f t="shared" si="164"/>
        <v>0</v>
      </c>
      <c r="AU273" s="1">
        <f t="shared" si="165"/>
        <v>165</v>
      </c>
      <c r="AV273" s="1">
        <f t="shared" si="166"/>
        <v>0</v>
      </c>
      <c r="AW273" s="1">
        <f t="shared" si="167"/>
        <v>0</v>
      </c>
      <c r="AX273" s="1">
        <f t="shared" si="168"/>
        <v>0</v>
      </c>
      <c r="AY273" s="23">
        <f t="shared" si="169"/>
        <v>0.91160220994475138</v>
      </c>
      <c r="AZ273" s="23">
        <f t="shared" si="170"/>
        <v>1.8039906266708248</v>
      </c>
      <c r="BA273" s="23">
        <f t="shared" si="171"/>
        <v>57.727700053466393</v>
      </c>
      <c r="BB273" s="23">
        <f t="shared" si="172"/>
        <v>144.31925013366597</v>
      </c>
      <c r="BC273" s="23">
        <f t="shared" si="173"/>
        <v>0</v>
      </c>
      <c r="BD273" s="23">
        <f t="shared" si="174"/>
        <v>144.31925013366597</v>
      </c>
    </row>
    <row r="274" spans="1:56">
      <c r="A274" s="1" t="s">
        <v>20</v>
      </c>
      <c r="B274" s="1" t="s">
        <v>32</v>
      </c>
      <c r="C274" s="1" t="s">
        <v>22</v>
      </c>
      <c r="D274" s="1" t="s">
        <v>33</v>
      </c>
      <c r="E274" s="51" t="s">
        <v>107</v>
      </c>
      <c r="F274" s="51" t="s">
        <v>108</v>
      </c>
      <c r="G274" s="51" t="s">
        <v>109</v>
      </c>
      <c r="H274" s="51" t="s">
        <v>146</v>
      </c>
      <c r="I274" s="1" t="s">
        <v>147</v>
      </c>
      <c r="J274" s="51" t="s">
        <v>148</v>
      </c>
      <c r="K274" s="51" t="s">
        <v>112</v>
      </c>
      <c r="L274" s="51" t="s">
        <v>112</v>
      </c>
      <c r="M274" s="1">
        <v>2125983</v>
      </c>
      <c r="N274" s="52" t="s">
        <v>566</v>
      </c>
      <c r="O274" s="55">
        <f t="shared" si="175"/>
        <v>42752</v>
      </c>
      <c r="P274" s="55">
        <f>DATE(2018,7,30)</f>
        <v>43311</v>
      </c>
      <c r="Q274" s="51">
        <v>1240</v>
      </c>
      <c r="S274" s="51">
        <v>2.5</v>
      </c>
      <c r="U274" s="1">
        <f t="shared" si="145"/>
        <v>560</v>
      </c>
      <c r="V274" s="31">
        <f t="shared" si="146"/>
        <v>2.2142857142857144</v>
      </c>
      <c r="W274" s="31">
        <f t="shared" si="147"/>
        <v>808.21428571428578</v>
      </c>
      <c r="X274" s="31">
        <f t="shared" si="148"/>
        <v>1.0102678571428572</v>
      </c>
      <c r="AA274" s="32">
        <f t="shared" si="149"/>
        <v>42552</v>
      </c>
      <c r="AB274" s="32">
        <f t="shared" si="150"/>
        <v>42735</v>
      </c>
      <c r="AC274" s="49">
        <v>0</v>
      </c>
      <c r="AD274" s="1">
        <f t="shared" si="151"/>
        <v>0</v>
      </c>
      <c r="AE274" s="1">
        <f t="shared" si="152"/>
        <v>0</v>
      </c>
      <c r="AF274" s="1">
        <f t="shared" si="153"/>
        <v>0</v>
      </c>
      <c r="AG274" s="1">
        <f t="shared" si="154"/>
        <v>0</v>
      </c>
      <c r="AH274" s="1">
        <f t="shared" si="155"/>
        <v>0</v>
      </c>
      <c r="AI274" s="23">
        <f t="shared" si="156"/>
        <v>0</v>
      </c>
      <c r="AJ274" s="23">
        <f t="shared" si="157"/>
        <v>0</v>
      </c>
      <c r="AK274" s="23">
        <f t="shared" si="158"/>
        <v>0</v>
      </c>
      <c r="AL274" s="23">
        <f t="shared" si="159"/>
        <v>0</v>
      </c>
      <c r="AM274" s="23">
        <f t="shared" si="160"/>
        <v>0</v>
      </c>
      <c r="AN274" s="23">
        <f t="shared" si="161"/>
        <v>0</v>
      </c>
      <c r="AQ274" s="32">
        <f t="shared" si="162"/>
        <v>42736</v>
      </c>
      <c r="AR274" s="32">
        <f t="shared" si="163"/>
        <v>42916</v>
      </c>
      <c r="AS274" s="52">
        <v>26</v>
      </c>
      <c r="AT274" s="1">
        <f t="shared" si="164"/>
        <v>0</v>
      </c>
      <c r="AU274" s="1">
        <f t="shared" si="165"/>
        <v>165</v>
      </c>
      <c r="AV274" s="1">
        <f t="shared" si="166"/>
        <v>0</v>
      </c>
      <c r="AW274" s="1">
        <f t="shared" si="167"/>
        <v>0</v>
      </c>
      <c r="AX274" s="1">
        <f t="shared" si="168"/>
        <v>0</v>
      </c>
      <c r="AY274" s="23">
        <f t="shared" si="169"/>
        <v>0.91160220994475138</v>
      </c>
      <c r="AZ274" s="23">
        <f t="shared" si="170"/>
        <v>0.92096241120757694</v>
      </c>
      <c r="BA274" s="23">
        <f t="shared" si="171"/>
        <v>23.945022691397</v>
      </c>
      <c r="BB274" s="23">
        <f t="shared" si="172"/>
        <v>59.8625567284925</v>
      </c>
      <c r="BC274" s="23">
        <f t="shared" si="173"/>
        <v>29.93127836424625</v>
      </c>
      <c r="BD274" s="23">
        <f t="shared" si="174"/>
        <v>89.793835092738746</v>
      </c>
    </row>
    <row r="275" spans="1:56">
      <c r="A275" s="1" t="s">
        <v>20</v>
      </c>
      <c r="B275" s="1" t="s">
        <v>32</v>
      </c>
      <c r="C275" s="1" t="s">
        <v>22</v>
      </c>
      <c r="D275" s="1" t="s">
        <v>33</v>
      </c>
      <c r="E275" s="51" t="s">
        <v>107</v>
      </c>
      <c r="F275" s="51" t="s">
        <v>439</v>
      </c>
      <c r="G275" s="51" t="s">
        <v>109</v>
      </c>
      <c r="H275" s="51" t="s">
        <v>443</v>
      </c>
      <c r="I275" s="1" t="s">
        <v>116</v>
      </c>
      <c r="J275" s="51" t="s">
        <v>112</v>
      </c>
      <c r="K275" s="51" t="s">
        <v>112</v>
      </c>
      <c r="L275" s="51" t="s">
        <v>112</v>
      </c>
      <c r="M275" s="1">
        <v>2125984</v>
      </c>
      <c r="N275" s="51" t="s">
        <v>567</v>
      </c>
      <c r="O275" s="55">
        <f>DATE(2015,12,4)</f>
        <v>42342</v>
      </c>
      <c r="P275" s="55">
        <f>DATE(2016,10,30)</f>
        <v>42673</v>
      </c>
      <c r="Q275" s="51">
        <v>420</v>
      </c>
      <c r="S275" s="51">
        <v>1</v>
      </c>
      <c r="U275" s="1">
        <f t="shared" si="145"/>
        <v>332</v>
      </c>
      <c r="V275" s="31">
        <f t="shared" si="146"/>
        <v>1.2650602409638554</v>
      </c>
      <c r="W275" s="31">
        <f t="shared" si="147"/>
        <v>420</v>
      </c>
      <c r="X275" s="31">
        <f t="shared" si="148"/>
        <v>0.52500000000000002</v>
      </c>
      <c r="AA275" s="32">
        <f t="shared" si="149"/>
        <v>42552</v>
      </c>
      <c r="AB275" s="32">
        <f t="shared" si="150"/>
        <v>42735</v>
      </c>
      <c r="AC275" s="51">
        <v>40</v>
      </c>
      <c r="AD275" s="1">
        <f t="shared" si="151"/>
        <v>0</v>
      </c>
      <c r="AE275" s="1">
        <f t="shared" si="152"/>
        <v>0</v>
      </c>
      <c r="AF275" s="1">
        <f t="shared" si="153"/>
        <v>122</v>
      </c>
      <c r="AG275" s="1">
        <f t="shared" si="154"/>
        <v>0</v>
      </c>
      <c r="AH275" s="1">
        <f t="shared" si="155"/>
        <v>0</v>
      </c>
      <c r="AI275" s="23">
        <f t="shared" si="156"/>
        <v>0.66304347826086951</v>
      </c>
      <c r="AJ275" s="23">
        <f t="shared" si="157"/>
        <v>0.3480978260869565</v>
      </c>
      <c r="AK275" s="23">
        <f t="shared" si="158"/>
        <v>13.92391304347826</v>
      </c>
      <c r="AL275" s="23">
        <f t="shared" si="159"/>
        <v>13.92391304347826</v>
      </c>
      <c r="AM275" s="23">
        <f t="shared" si="160"/>
        <v>0</v>
      </c>
      <c r="AN275" s="23">
        <f t="shared" si="161"/>
        <v>13.92391304347826</v>
      </c>
      <c r="AQ275" s="32">
        <f t="shared" si="162"/>
        <v>42736</v>
      </c>
      <c r="AR275" s="32">
        <f t="shared" si="163"/>
        <v>42916</v>
      </c>
      <c r="AS275" s="51">
        <v>33</v>
      </c>
      <c r="AT275" s="1">
        <f t="shared" si="164"/>
        <v>0</v>
      </c>
      <c r="AU275" s="1">
        <f t="shared" si="165"/>
        <v>0</v>
      </c>
      <c r="AV275" s="1">
        <f t="shared" si="166"/>
        <v>0</v>
      </c>
      <c r="AW275" s="1">
        <f t="shared" si="167"/>
        <v>0</v>
      </c>
      <c r="AX275" s="1">
        <f t="shared" si="168"/>
        <v>90.5</v>
      </c>
      <c r="AY275" s="23">
        <f t="shared" si="169"/>
        <v>0.5</v>
      </c>
      <c r="AZ275" s="23">
        <f t="shared" si="170"/>
        <v>0.26250000000000001</v>
      </c>
      <c r="BA275" s="23">
        <f t="shared" si="171"/>
        <v>4.3312499999999998</v>
      </c>
      <c r="BB275" s="23">
        <f t="shared" si="172"/>
        <v>4.3312499999999998</v>
      </c>
      <c r="BC275" s="23">
        <f t="shared" si="173"/>
        <v>0</v>
      </c>
      <c r="BD275" s="23">
        <f t="shared" si="174"/>
        <v>4.3312499999999998</v>
      </c>
    </row>
    <row r="276" spans="1:56">
      <c r="A276" s="1" t="s">
        <v>20</v>
      </c>
      <c r="B276" s="1" t="s">
        <v>32</v>
      </c>
      <c r="C276" s="1" t="s">
        <v>22</v>
      </c>
      <c r="D276" s="1" t="s">
        <v>33</v>
      </c>
      <c r="E276" s="51" t="s">
        <v>107</v>
      </c>
      <c r="F276" s="51" t="s">
        <v>108</v>
      </c>
      <c r="G276" s="51" t="s">
        <v>109</v>
      </c>
      <c r="H276" s="51" t="s">
        <v>277</v>
      </c>
      <c r="I276" s="1" t="s">
        <v>278</v>
      </c>
      <c r="J276" s="51" t="s">
        <v>112</v>
      </c>
      <c r="K276" s="51" t="s">
        <v>112</v>
      </c>
      <c r="L276" s="51" t="s">
        <v>112</v>
      </c>
      <c r="M276" s="1">
        <v>2125985</v>
      </c>
      <c r="N276" s="52" t="s">
        <v>568</v>
      </c>
      <c r="O276" s="55">
        <f>DATE(2017,1,17)</f>
        <v>42752</v>
      </c>
      <c r="P276" s="55">
        <f>DATE(2018,7,30)</f>
        <v>43311</v>
      </c>
      <c r="Q276" s="51">
        <v>1000</v>
      </c>
      <c r="S276" s="51">
        <v>1.5</v>
      </c>
      <c r="U276" s="1">
        <f t="shared" si="145"/>
        <v>560</v>
      </c>
      <c r="V276" s="31">
        <f t="shared" si="146"/>
        <v>1.7857142857142858</v>
      </c>
      <c r="W276" s="31">
        <f t="shared" si="147"/>
        <v>651.78571428571433</v>
      </c>
      <c r="X276" s="31">
        <f t="shared" si="148"/>
        <v>0.8147321428571429</v>
      </c>
      <c r="AA276" s="32">
        <f t="shared" si="149"/>
        <v>42552</v>
      </c>
      <c r="AB276" s="32">
        <f t="shared" si="150"/>
        <v>42735</v>
      </c>
      <c r="AC276" s="49">
        <v>0</v>
      </c>
      <c r="AD276" s="1">
        <f t="shared" si="151"/>
        <v>0</v>
      </c>
      <c r="AE276" s="1">
        <f t="shared" si="152"/>
        <v>0</v>
      </c>
      <c r="AF276" s="1">
        <f t="shared" si="153"/>
        <v>0</v>
      </c>
      <c r="AG276" s="1">
        <f t="shared" si="154"/>
        <v>0</v>
      </c>
      <c r="AH276" s="1">
        <f t="shared" si="155"/>
        <v>0</v>
      </c>
      <c r="AI276" s="23">
        <f t="shared" si="156"/>
        <v>0</v>
      </c>
      <c r="AJ276" s="23">
        <f t="shared" si="157"/>
        <v>0</v>
      </c>
      <c r="AK276" s="23">
        <f t="shared" si="158"/>
        <v>0</v>
      </c>
      <c r="AL276" s="23">
        <f t="shared" si="159"/>
        <v>0</v>
      </c>
      <c r="AM276" s="23">
        <f t="shared" si="160"/>
        <v>0</v>
      </c>
      <c r="AN276" s="23">
        <f t="shared" si="161"/>
        <v>0</v>
      </c>
      <c r="AQ276" s="32">
        <f t="shared" si="162"/>
        <v>42736</v>
      </c>
      <c r="AR276" s="32">
        <f t="shared" si="163"/>
        <v>42916</v>
      </c>
      <c r="AS276" s="52">
        <v>19</v>
      </c>
      <c r="AT276" s="1">
        <f t="shared" si="164"/>
        <v>0</v>
      </c>
      <c r="AU276" s="1">
        <f t="shared" si="165"/>
        <v>165</v>
      </c>
      <c r="AV276" s="1">
        <f t="shared" si="166"/>
        <v>0</v>
      </c>
      <c r="AW276" s="1">
        <f t="shared" si="167"/>
        <v>0</v>
      </c>
      <c r="AX276" s="1">
        <f t="shared" si="168"/>
        <v>0</v>
      </c>
      <c r="AY276" s="23">
        <f t="shared" si="169"/>
        <v>0.91160220994475138</v>
      </c>
      <c r="AZ276" s="23">
        <f t="shared" si="170"/>
        <v>0.74271162194159435</v>
      </c>
      <c r="BA276" s="23">
        <f t="shared" si="171"/>
        <v>14.111520816890293</v>
      </c>
      <c r="BB276" s="23">
        <f t="shared" si="172"/>
        <v>21.16728122533544</v>
      </c>
      <c r="BC276" s="23">
        <f t="shared" si="173"/>
        <v>0</v>
      </c>
      <c r="BD276" s="23">
        <f t="shared" si="174"/>
        <v>21.16728122533544</v>
      </c>
    </row>
    <row r="277" spans="1:56">
      <c r="A277" s="1" t="s">
        <v>20</v>
      </c>
      <c r="B277" s="1" t="s">
        <v>32</v>
      </c>
      <c r="C277" s="1" t="s">
        <v>22</v>
      </c>
      <c r="D277" s="1" t="s">
        <v>33</v>
      </c>
      <c r="E277" s="51" t="s">
        <v>107</v>
      </c>
      <c r="F277" s="51" t="s">
        <v>108</v>
      </c>
      <c r="G277" s="51" t="s">
        <v>109</v>
      </c>
      <c r="H277" s="51" t="s">
        <v>124</v>
      </c>
      <c r="I277" s="1" t="s">
        <v>125</v>
      </c>
      <c r="J277" s="51" t="s">
        <v>112</v>
      </c>
      <c r="K277" s="51" t="s">
        <v>112</v>
      </c>
      <c r="L277" s="51" t="s">
        <v>112</v>
      </c>
      <c r="M277" s="1">
        <v>2125986</v>
      </c>
      <c r="N277" s="52" t="s">
        <v>569</v>
      </c>
      <c r="O277" s="55">
        <f>DATE(2017,1,17)</f>
        <v>42752</v>
      </c>
      <c r="P277" s="55">
        <f>DATE(2018,7,30)</f>
        <v>43311</v>
      </c>
      <c r="Q277" s="51">
        <v>1200</v>
      </c>
      <c r="S277" s="51">
        <v>2.5</v>
      </c>
      <c r="U277" s="1">
        <f t="shared" si="145"/>
        <v>560</v>
      </c>
      <c r="V277" s="31">
        <f t="shared" si="146"/>
        <v>2.1428571428571428</v>
      </c>
      <c r="W277" s="31">
        <f t="shared" si="147"/>
        <v>782.14285714285711</v>
      </c>
      <c r="X277" s="31">
        <f t="shared" si="148"/>
        <v>0.9776785714285714</v>
      </c>
      <c r="AA277" s="32">
        <f t="shared" si="149"/>
        <v>42552</v>
      </c>
      <c r="AB277" s="32">
        <f t="shared" si="150"/>
        <v>42735</v>
      </c>
      <c r="AC277" s="49">
        <v>0</v>
      </c>
      <c r="AD277" s="1">
        <f t="shared" si="151"/>
        <v>0</v>
      </c>
      <c r="AE277" s="1">
        <f t="shared" si="152"/>
        <v>0</v>
      </c>
      <c r="AF277" s="1">
        <f t="shared" si="153"/>
        <v>0</v>
      </c>
      <c r="AG277" s="1">
        <f t="shared" si="154"/>
        <v>0</v>
      </c>
      <c r="AH277" s="1">
        <f t="shared" si="155"/>
        <v>0</v>
      </c>
      <c r="AI277" s="23">
        <f t="shared" si="156"/>
        <v>0</v>
      </c>
      <c r="AJ277" s="23">
        <f t="shared" si="157"/>
        <v>0</v>
      </c>
      <c r="AK277" s="23">
        <f t="shared" si="158"/>
        <v>0</v>
      </c>
      <c r="AL277" s="23">
        <f t="shared" si="159"/>
        <v>0</v>
      </c>
      <c r="AM277" s="23">
        <f t="shared" si="160"/>
        <v>0</v>
      </c>
      <c r="AN277" s="23">
        <f t="shared" si="161"/>
        <v>0</v>
      </c>
      <c r="AQ277" s="32">
        <f t="shared" si="162"/>
        <v>42736</v>
      </c>
      <c r="AR277" s="32">
        <f t="shared" si="163"/>
        <v>42916</v>
      </c>
      <c r="AS277" s="52">
        <v>21</v>
      </c>
      <c r="AT277" s="1">
        <f t="shared" si="164"/>
        <v>0</v>
      </c>
      <c r="AU277" s="1">
        <f t="shared" si="165"/>
        <v>165</v>
      </c>
      <c r="AV277" s="1">
        <f t="shared" si="166"/>
        <v>0</v>
      </c>
      <c r="AW277" s="1">
        <f t="shared" si="167"/>
        <v>0</v>
      </c>
      <c r="AX277" s="1">
        <f t="shared" si="168"/>
        <v>0</v>
      </c>
      <c r="AY277" s="23">
        <f t="shared" si="169"/>
        <v>0.91160220994475138</v>
      </c>
      <c r="AZ277" s="23">
        <f t="shared" si="170"/>
        <v>0.89125394632991317</v>
      </c>
      <c r="BA277" s="23">
        <f t="shared" si="171"/>
        <v>18.716332872928177</v>
      </c>
      <c r="BB277" s="23">
        <f t="shared" si="172"/>
        <v>46.790832182320443</v>
      </c>
      <c r="BC277" s="23">
        <f t="shared" si="173"/>
        <v>0</v>
      </c>
      <c r="BD277" s="23">
        <f t="shared" si="174"/>
        <v>46.790832182320443</v>
      </c>
    </row>
    <row r="278" spans="1:56">
      <c r="A278" s="1" t="s">
        <v>20</v>
      </c>
      <c r="B278" s="1" t="s">
        <v>32</v>
      </c>
      <c r="C278" s="1" t="s">
        <v>22</v>
      </c>
      <c r="D278" s="1" t="s">
        <v>33</v>
      </c>
      <c r="E278" s="51" t="s">
        <v>107</v>
      </c>
      <c r="F278" s="51" t="s">
        <v>108</v>
      </c>
      <c r="G278" s="51" t="s">
        <v>109</v>
      </c>
      <c r="H278" s="51" t="s">
        <v>290</v>
      </c>
      <c r="I278" s="1" t="s">
        <v>125</v>
      </c>
      <c r="J278" s="51" t="s">
        <v>112</v>
      </c>
      <c r="K278" s="51" t="s">
        <v>112</v>
      </c>
      <c r="L278" s="51" t="s">
        <v>112</v>
      </c>
      <c r="M278" s="1">
        <v>2125987</v>
      </c>
      <c r="N278" s="52" t="s">
        <v>570</v>
      </c>
      <c r="O278" s="55">
        <f>DATE(2017,1,17)</f>
        <v>42752</v>
      </c>
      <c r="P278" s="55">
        <f>DATE(2018,7,30)</f>
        <v>43311</v>
      </c>
      <c r="Q278" s="51">
        <v>3404</v>
      </c>
      <c r="S278" s="51">
        <v>2.5</v>
      </c>
      <c r="U278" s="1">
        <f t="shared" si="145"/>
        <v>560</v>
      </c>
      <c r="V278" s="31">
        <f t="shared" si="146"/>
        <v>6.0785714285714283</v>
      </c>
      <c r="W278" s="31">
        <f t="shared" si="147"/>
        <v>2218.6785714285711</v>
      </c>
      <c r="X278" s="31">
        <f t="shared" si="148"/>
        <v>2.773348214285714</v>
      </c>
      <c r="AA278" s="32">
        <f t="shared" si="149"/>
        <v>42552</v>
      </c>
      <c r="AB278" s="32">
        <f t="shared" si="150"/>
        <v>42735</v>
      </c>
      <c r="AC278" s="49">
        <v>0</v>
      </c>
      <c r="AD278" s="1">
        <f t="shared" si="151"/>
        <v>0</v>
      </c>
      <c r="AE278" s="1">
        <f t="shared" si="152"/>
        <v>0</v>
      </c>
      <c r="AF278" s="1">
        <f t="shared" si="153"/>
        <v>0</v>
      </c>
      <c r="AG278" s="1">
        <f t="shared" si="154"/>
        <v>0</v>
      </c>
      <c r="AH278" s="1">
        <f t="shared" si="155"/>
        <v>0</v>
      </c>
      <c r="AI278" s="23">
        <f t="shared" si="156"/>
        <v>0</v>
      </c>
      <c r="AJ278" s="23">
        <f t="shared" si="157"/>
        <v>0</v>
      </c>
      <c r="AK278" s="23">
        <f t="shared" si="158"/>
        <v>0</v>
      </c>
      <c r="AL278" s="23">
        <f t="shared" si="159"/>
        <v>0</v>
      </c>
      <c r="AM278" s="23">
        <f t="shared" si="160"/>
        <v>0</v>
      </c>
      <c r="AN278" s="23">
        <f t="shared" si="161"/>
        <v>0</v>
      </c>
      <c r="AQ278" s="32">
        <f t="shared" si="162"/>
        <v>42736</v>
      </c>
      <c r="AR278" s="32">
        <f t="shared" si="163"/>
        <v>42916</v>
      </c>
      <c r="AS278" s="52">
        <v>5</v>
      </c>
      <c r="AT278" s="1">
        <f t="shared" si="164"/>
        <v>0</v>
      </c>
      <c r="AU278" s="1">
        <f t="shared" si="165"/>
        <v>165</v>
      </c>
      <c r="AV278" s="1">
        <f t="shared" si="166"/>
        <v>0</v>
      </c>
      <c r="AW278" s="1">
        <f t="shared" si="167"/>
        <v>0</v>
      </c>
      <c r="AX278" s="1">
        <f t="shared" si="168"/>
        <v>0</v>
      </c>
      <c r="AY278" s="23">
        <f t="shared" si="169"/>
        <v>0.91160220994475138</v>
      </c>
      <c r="AZ278" s="23">
        <f t="shared" si="170"/>
        <v>2.5281903610891869</v>
      </c>
      <c r="BA278" s="23">
        <f t="shared" si="171"/>
        <v>12.640951805445935</v>
      </c>
      <c r="BB278" s="23">
        <f t="shared" si="172"/>
        <v>31.602379513614839</v>
      </c>
      <c r="BC278" s="23">
        <f t="shared" si="173"/>
        <v>0</v>
      </c>
      <c r="BD278" s="23">
        <f t="shared" si="174"/>
        <v>31.602379513614839</v>
      </c>
    </row>
    <row r="279" spans="1:56">
      <c r="A279" s="1" t="s">
        <v>20</v>
      </c>
      <c r="B279" s="1" t="s">
        <v>32</v>
      </c>
      <c r="C279" s="1" t="s">
        <v>22</v>
      </c>
      <c r="D279" s="1" t="s">
        <v>33</v>
      </c>
      <c r="E279" s="51" t="s">
        <v>107</v>
      </c>
      <c r="F279" s="51" t="s">
        <v>439</v>
      </c>
      <c r="G279" s="51" t="s">
        <v>109</v>
      </c>
      <c r="H279" s="51" t="s">
        <v>571</v>
      </c>
      <c r="J279" s="51" t="s">
        <v>112</v>
      </c>
      <c r="K279" s="51" t="s">
        <v>112</v>
      </c>
      <c r="L279" s="51" t="s">
        <v>112</v>
      </c>
      <c r="M279" s="1">
        <v>2126856</v>
      </c>
      <c r="N279" s="51" t="s">
        <v>572</v>
      </c>
      <c r="O279" s="55">
        <f>DATE(2017,2,1)</f>
        <v>42767</v>
      </c>
      <c r="P279" s="55">
        <f>DATE(2017,12,29)</f>
        <v>43098</v>
      </c>
      <c r="Q279" s="51">
        <v>360</v>
      </c>
      <c r="S279" s="51">
        <v>1.5</v>
      </c>
      <c r="U279" s="1">
        <f t="shared" si="145"/>
        <v>332</v>
      </c>
      <c r="V279" s="31">
        <f t="shared" si="146"/>
        <v>1.0843373493975903</v>
      </c>
      <c r="W279" s="31">
        <f t="shared" si="147"/>
        <v>360</v>
      </c>
      <c r="X279" s="31">
        <f t="shared" si="148"/>
        <v>0.45</v>
      </c>
      <c r="AA279" s="32">
        <f t="shared" si="149"/>
        <v>42552</v>
      </c>
      <c r="AB279" s="32">
        <f t="shared" si="150"/>
        <v>42735</v>
      </c>
      <c r="AC279" s="49">
        <v>0</v>
      </c>
      <c r="AD279" s="1">
        <f t="shared" si="151"/>
        <v>0</v>
      </c>
      <c r="AE279" s="1">
        <f t="shared" si="152"/>
        <v>0</v>
      </c>
      <c r="AF279" s="1">
        <f t="shared" si="153"/>
        <v>0</v>
      </c>
      <c r="AG279" s="1">
        <f t="shared" si="154"/>
        <v>0</v>
      </c>
      <c r="AH279" s="1">
        <f t="shared" si="155"/>
        <v>0</v>
      </c>
      <c r="AI279" s="23">
        <f t="shared" si="156"/>
        <v>0</v>
      </c>
      <c r="AJ279" s="23">
        <f t="shared" si="157"/>
        <v>0</v>
      </c>
      <c r="AK279" s="23">
        <f t="shared" si="158"/>
        <v>0</v>
      </c>
      <c r="AL279" s="23">
        <f t="shared" si="159"/>
        <v>0</v>
      </c>
      <c r="AM279" s="23">
        <f t="shared" si="160"/>
        <v>0</v>
      </c>
      <c r="AN279" s="23">
        <f t="shared" si="161"/>
        <v>0</v>
      </c>
      <c r="AQ279" s="32">
        <f t="shared" si="162"/>
        <v>42736</v>
      </c>
      <c r="AR279" s="32">
        <f t="shared" si="163"/>
        <v>42916</v>
      </c>
      <c r="AS279" s="52">
        <v>24</v>
      </c>
      <c r="AT279" s="1">
        <f t="shared" si="164"/>
        <v>0</v>
      </c>
      <c r="AU279" s="1">
        <f t="shared" si="165"/>
        <v>150</v>
      </c>
      <c r="AV279" s="1">
        <f t="shared" si="166"/>
        <v>0</v>
      </c>
      <c r="AW279" s="1">
        <f t="shared" si="167"/>
        <v>0</v>
      </c>
      <c r="AX279" s="1">
        <f t="shared" si="168"/>
        <v>0</v>
      </c>
      <c r="AY279" s="23">
        <f t="shared" si="169"/>
        <v>0.82872928176795579</v>
      </c>
      <c r="AZ279" s="23">
        <f t="shared" si="170"/>
        <v>0.3729281767955801</v>
      </c>
      <c r="BA279" s="23">
        <f t="shared" si="171"/>
        <v>8.9502762430939224</v>
      </c>
      <c r="BB279" s="23">
        <f t="shared" si="172"/>
        <v>13.425414364640883</v>
      </c>
      <c r="BC279" s="23">
        <f t="shared" si="173"/>
        <v>0</v>
      </c>
      <c r="BD279" s="23">
        <f t="shared" si="174"/>
        <v>13.425414364640883</v>
      </c>
    </row>
    <row r="280" spans="1:56">
      <c r="A280" s="1" t="s">
        <v>20</v>
      </c>
      <c r="B280" s="1" t="s">
        <v>32</v>
      </c>
      <c r="C280" s="1" t="s">
        <v>22</v>
      </c>
      <c r="D280" s="1" t="s">
        <v>33</v>
      </c>
      <c r="E280" s="51" t="s">
        <v>107</v>
      </c>
      <c r="F280" s="51" t="s">
        <v>294</v>
      </c>
      <c r="G280" s="51" t="s">
        <v>109</v>
      </c>
      <c r="H280" s="51" t="s">
        <v>301</v>
      </c>
      <c r="I280" s="1" t="s">
        <v>111</v>
      </c>
      <c r="J280" s="51" t="s">
        <v>112</v>
      </c>
      <c r="K280" s="51" t="s">
        <v>112</v>
      </c>
      <c r="L280" s="51" t="s">
        <v>112</v>
      </c>
      <c r="M280" s="1">
        <v>2126905</v>
      </c>
      <c r="N280" s="52" t="s">
        <v>573</v>
      </c>
      <c r="O280" s="55">
        <f>DATE(2017,1,17)</f>
        <v>42752</v>
      </c>
      <c r="P280" s="55">
        <f>DATE(2020,1,30)</f>
        <v>43860</v>
      </c>
      <c r="Q280" s="51">
        <v>2705</v>
      </c>
      <c r="S280" s="51">
        <v>2</v>
      </c>
      <c r="U280" s="1">
        <f t="shared" si="145"/>
        <v>1109</v>
      </c>
      <c r="V280" s="31">
        <f t="shared" si="146"/>
        <v>2.4391343552750224</v>
      </c>
      <c r="W280" s="31">
        <f t="shared" si="147"/>
        <v>890.28403967538316</v>
      </c>
      <c r="X280" s="31">
        <f t="shared" si="148"/>
        <v>1.1128550495942289</v>
      </c>
      <c r="AA280" s="32">
        <f t="shared" si="149"/>
        <v>42552</v>
      </c>
      <c r="AB280" s="32">
        <f t="shared" si="150"/>
        <v>42735</v>
      </c>
      <c r="AC280" s="49">
        <v>0</v>
      </c>
      <c r="AD280" s="1">
        <f t="shared" si="151"/>
        <v>0</v>
      </c>
      <c r="AE280" s="1">
        <f t="shared" si="152"/>
        <v>0</v>
      </c>
      <c r="AF280" s="1">
        <f t="shared" si="153"/>
        <v>0</v>
      </c>
      <c r="AG280" s="1">
        <f t="shared" si="154"/>
        <v>0</v>
      </c>
      <c r="AH280" s="1">
        <f t="shared" si="155"/>
        <v>0</v>
      </c>
      <c r="AI280" s="23">
        <f t="shared" si="156"/>
        <v>0</v>
      </c>
      <c r="AJ280" s="23">
        <f t="shared" si="157"/>
        <v>0</v>
      </c>
      <c r="AK280" s="23">
        <f t="shared" si="158"/>
        <v>0</v>
      </c>
      <c r="AL280" s="23">
        <f t="shared" si="159"/>
        <v>0</v>
      </c>
      <c r="AM280" s="23">
        <f t="shared" si="160"/>
        <v>0</v>
      </c>
      <c r="AN280" s="23">
        <f t="shared" si="161"/>
        <v>0</v>
      </c>
      <c r="AQ280" s="32">
        <f t="shared" si="162"/>
        <v>42736</v>
      </c>
      <c r="AR280" s="32">
        <f t="shared" si="163"/>
        <v>42916</v>
      </c>
      <c r="AS280" s="52">
        <v>24</v>
      </c>
      <c r="AT280" s="1">
        <f t="shared" si="164"/>
        <v>0</v>
      </c>
      <c r="AU280" s="1">
        <f t="shared" si="165"/>
        <v>165</v>
      </c>
      <c r="AV280" s="1">
        <f t="shared" si="166"/>
        <v>0</v>
      </c>
      <c r="AW280" s="1">
        <f t="shared" si="167"/>
        <v>0</v>
      </c>
      <c r="AX280" s="1">
        <f t="shared" si="168"/>
        <v>0</v>
      </c>
      <c r="AY280" s="23">
        <f t="shared" si="169"/>
        <v>0.91160220994475138</v>
      </c>
      <c r="AZ280" s="23">
        <f t="shared" si="170"/>
        <v>1.0144811225582751</v>
      </c>
      <c r="BA280" s="23">
        <f t="shared" si="171"/>
        <v>24.347546941398601</v>
      </c>
      <c r="BB280" s="23">
        <f t="shared" si="172"/>
        <v>48.695093882797202</v>
      </c>
      <c r="BC280" s="23">
        <f t="shared" si="173"/>
        <v>0</v>
      </c>
      <c r="BD280" s="23">
        <f t="shared" si="174"/>
        <v>48.695093882797202</v>
      </c>
    </row>
    <row r="281" spans="1:56">
      <c r="A281" s="1" t="s">
        <v>20</v>
      </c>
      <c r="B281" s="1" t="s">
        <v>32</v>
      </c>
      <c r="C281" s="1" t="s">
        <v>22</v>
      </c>
      <c r="D281" s="1" t="s">
        <v>33</v>
      </c>
      <c r="E281" s="51" t="s">
        <v>107</v>
      </c>
      <c r="F281" s="51" t="s">
        <v>108</v>
      </c>
      <c r="G281" s="51" t="s">
        <v>109</v>
      </c>
      <c r="H281" s="51" t="s">
        <v>275</v>
      </c>
      <c r="I281" s="1" t="s">
        <v>128</v>
      </c>
      <c r="J281" s="51" t="s">
        <v>112</v>
      </c>
      <c r="K281" s="51" t="s">
        <v>112</v>
      </c>
      <c r="L281" s="51" t="s">
        <v>112</v>
      </c>
      <c r="M281" s="1">
        <v>2126923</v>
      </c>
      <c r="N281" s="52" t="s">
        <v>574</v>
      </c>
      <c r="O281" s="55">
        <f>DATE(2017,1,17)</f>
        <v>42752</v>
      </c>
      <c r="P281" s="55">
        <f>DATE(2019,1,30)</f>
        <v>43495</v>
      </c>
      <c r="Q281" s="51">
        <v>1200</v>
      </c>
      <c r="S281" s="51">
        <v>2.5</v>
      </c>
      <c r="U281" s="1">
        <f t="shared" si="145"/>
        <v>744</v>
      </c>
      <c r="V281" s="31">
        <f t="shared" si="146"/>
        <v>1.6129032258064515</v>
      </c>
      <c r="W281" s="31">
        <f t="shared" si="147"/>
        <v>588.70967741935476</v>
      </c>
      <c r="X281" s="31">
        <f t="shared" si="148"/>
        <v>0.73588709677419351</v>
      </c>
      <c r="AA281" s="32">
        <f t="shared" si="149"/>
        <v>42552</v>
      </c>
      <c r="AB281" s="32">
        <f t="shared" si="150"/>
        <v>42735</v>
      </c>
      <c r="AC281" s="49">
        <v>0</v>
      </c>
      <c r="AD281" s="1">
        <f t="shared" si="151"/>
        <v>0</v>
      </c>
      <c r="AE281" s="1">
        <f t="shared" si="152"/>
        <v>0</v>
      </c>
      <c r="AF281" s="1">
        <f t="shared" si="153"/>
        <v>0</v>
      </c>
      <c r="AG281" s="1">
        <f t="shared" si="154"/>
        <v>0</v>
      </c>
      <c r="AH281" s="1">
        <f t="shared" si="155"/>
        <v>0</v>
      </c>
      <c r="AI281" s="23">
        <f t="shared" si="156"/>
        <v>0</v>
      </c>
      <c r="AJ281" s="23">
        <f t="shared" si="157"/>
        <v>0</v>
      </c>
      <c r="AK281" s="23">
        <f t="shared" si="158"/>
        <v>0</v>
      </c>
      <c r="AL281" s="23">
        <f t="shared" si="159"/>
        <v>0</v>
      </c>
      <c r="AM281" s="23">
        <f t="shared" si="160"/>
        <v>0</v>
      </c>
      <c r="AN281" s="23">
        <f t="shared" si="161"/>
        <v>0</v>
      </c>
      <c r="AQ281" s="32">
        <f t="shared" si="162"/>
        <v>42736</v>
      </c>
      <c r="AR281" s="32">
        <f t="shared" si="163"/>
        <v>42916</v>
      </c>
      <c r="AS281" s="52">
        <v>25</v>
      </c>
      <c r="AT281" s="1">
        <f t="shared" si="164"/>
        <v>0</v>
      </c>
      <c r="AU281" s="1">
        <f t="shared" si="165"/>
        <v>165</v>
      </c>
      <c r="AV281" s="1">
        <f t="shared" si="166"/>
        <v>0</v>
      </c>
      <c r="AW281" s="1">
        <f t="shared" si="167"/>
        <v>0</v>
      </c>
      <c r="AX281" s="1">
        <f t="shared" si="168"/>
        <v>0</v>
      </c>
      <c r="AY281" s="23">
        <f t="shared" si="169"/>
        <v>0.91160220994475138</v>
      </c>
      <c r="AZ281" s="23">
        <f t="shared" si="170"/>
        <v>0.6708363036891819</v>
      </c>
      <c r="BA281" s="23">
        <f t="shared" si="171"/>
        <v>16.770907592229548</v>
      </c>
      <c r="BB281" s="23">
        <f t="shared" si="172"/>
        <v>41.927268980573871</v>
      </c>
      <c r="BC281" s="23">
        <f t="shared" si="173"/>
        <v>0</v>
      </c>
      <c r="BD281" s="23">
        <f t="shared" si="174"/>
        <v>41.927268980573871</v>
      </c>
    </row>
    <row r="282" spans="1:56">
      <c r="A282" s="1" t="s">
        <v>20</v>
      </c>
      <c r="B282" s="1" t="s">
        <v>32</v>
      </c>
      <c r="C282" s="1" t="s">
        <v>22</v>
      </c>
      <c r="D282" s="1" t="s">
        <v>33</v>
      </c>
      <c r="E282" s="51" t="s">
        <v>107</v>
      </c>
      <c r="F282" s="51" t="s">
        <v>439</v>
      </c>
      <c r="G282" s="51" t="s">
        <v>109</v>
      </c>
      <c r="H282" s="51" t="s">
        <v>575</v>
      </c>
      <c r="I282" s="1" t="s">
        <v>167</v>
      </c>
      <c r="J282" s="51" t="s">
        <v>112</v>
      </c>
      <c r="K282" s="51" t="s">
        <v>112</v>
      </c>
      <c r="L282" s="51" t="s">
        <v>112</v>
      </c>
      <c r="M282" s="1">
        <v>2143385</v>
      </c>
      <c r="N282" s="51" t="s">
        <v>576</v>
      </c>
      <c r="O282" s="55">
        <f>DATE(2017,3,4)</f>
        <v>42798</v>
      </c>
      <c r="P282" s="55">
        <f>DATE(2017,12,31)</f>
        <v>43100</v>
      </c>
      <c r="Q282" s="51">
        <v>390</v>
      </c>
      <c r="S282" s="51">
        <v>1</v>
      </c>
      <c r="U282" s="1">
        <f t="shared" si="145"/>
        <v>303</v>
      </c>
      <c r="V282" s="31">
        <f t="shared" si="146"/>
        <v>1.2871287128712872</v>
      </c>
      <c r="W282" s="31">
        <f t="shared" si="147"/>
        <v>390</v>
      </c>
      <c r="X282" s="31">
        <f t="shared" si="148"/>
        <v>0.48749999999999999</v>
      </c>
      <c r="AA282" s="32">
        <f t="shared" si="149"/>
        <v>42552</v>
      </c>
      <c r="AB282" s="32">
        <f t="shared" si="150"/>
        <v>42735</v>
      </c>
      <c r="AC282" s="49">
        <v>0</v>
      </c>
      <c r="AD282" s="1">
        <f t="shared" si="151"/>
        <v>0</v>
      </c>
      <c r="AE282" s="1">
        <f t="shared" si="152"/>
        <v>0</v>
      </c>
      <c r="AF282" s="1">
        <f t="shared" si="153"/>
        <v>0</v>
      </c>
      <c r="AG282" s="1">
        <f t="shared" si="154"/>
        <v>0</v>
      </c>
      <c r="AH282" s="1">
        <f t="shared" si="155"/>
        <v>0</v>
      </c>
      <c r="AI282" s="23">
        <f t="shared" si="156"/>
        <v>0</v>
      </c>
      <c r="AJ282" s="23">
        <f t="shared" si="157"/>
        <v>0</v>
      </c>
      <c r="AK282" s="23">
        <f t="shared" si="158"/>
        <v>0</v>
      </c>
      <c r="AL282" s="23">
        <f t="shared" si="159"/>
        <v>0</v>
      </c>
      <c r="AM282" s="23">
        <f t="shared" si="160"/>
        <v>0</v>
      </c>
      <c r="AN282" s="23">
        <f t="shared" si="161"/>
        <v>0</v>
      </c>
      <c r="AQ282" s="32">
        <f t="shared" si="162"/>
        <v>42736</v>
      </c>
      <c r="AR282" s="32">
        <f t="shared" si="163"/>
        <v>42916</v>
      </c>
      <c r="AS282" s="52">
        <v>96</v>
      </c>
      <c r="AT282" s="1">
        <f t="shared" si="164"/>
        <v>0</v>
      </c>
      <c r="AU282" s="1">
        <f t="shared" si="165"/>
        <v>119</v>
      </c>
      <c r="AV282" s="1">
        <f t="shared" si="166"/>
        <v>0</v>
      </c>
      <c r="AW282" s="1">
        <f t="shared" si="167"/>
        <v>0</v>
      </c>
      <c r="AX282" s="1">
        <f t="shared" si="168"/>
        <v>0</v>
      </c>
      <c r="AY282" s="23">
        <f t="shared" si="169"/>
        <v>0.65745856353591159</v>
      </c>
      <c r="AZ282" s="23">
        <f t="shared" si="170"/>
        <v>0.32051104972375688</v>
      </c>
      <c r="BA282" s="23">
        <f t="shared" si="171"/>
        <v>30.76906077348066</v>
      </c>
      <c r="BB282" s="23">
        <f t="shared" si="172"/>
        <v>30.76906077348066</v>
      </c>
      <c r="BC282" s="23">
        <f t="shared" si="173"/>
        <v>0</v>
      </c>
      <c r="BD282" s="23">
        <f t="shared" si="174"/>
        <v>30.76906077348066</v>
      </c>
    </row>
    <row r="283" spans="1:56">
      <c r="A283" s="1" t="s">
        <v>20</v>
      </c>
      <c r="B283" s="1" t="s">
        <v>32</v>
      </c>
      <c r="C283" s="1" t="s">
        <v>22</v>
      </c>
      <c r="D283" s="1" t="s">
        <v>33</v>
      </c>
      <c r="E283" s="51" t="s">
        <v>107</v>
      </c>
      <c r="F283" s="51" t="s">
        <v>294</v>
      </c>
      <c r="G283" s="51" t="s">
        <v>109</v>
      </c>
      <c r="H283" s="51" t="s">
        <v>301</v>
      </c>
      <c r="I283" s="1" t="s">
        <v>111</v>
      </c>
      <c r="J283" s="51" t="s">
        <v>112</v>
      </c>
      <c r="K283" s="51" t="s">
        <v>112</v>
      </c>
      <c r="L283" s="51" t="s">
        <v>112</v>
      </c>
      <c r="M283" s="1">
        <v>2160423</v>
      </c>
      <c r="N283" s="52" t="s">
        <v>577</v>
      </c>
      <c r="O283" s="55">
        <f t="shared" ref="O283:O320" si="176">DATE(2017,5,15)</f>
        <v>42870</v>
      </c>
      <c r="P283" s="55">
        <f>DATE(2020,12,12)</f>
        <v>44177</v>
      </c>
      <c r="Q283" s="51">
        <v>2705</v>
      </c>
      <c r="S283" s="51">
        <v>2</v>
      </c>
      <c r="U283" s="1">
        <f t="shared" si="145"/>
        <v>1308</v>
      </c>
      <c r="V283" s="31">
        <f t="shared" si="146"/>
        <v>2.0680428134556577</v>
      </c>
      <c r="W283" s="31">
        <f t="shared" si="147"/>
        <v>754.83562691131499</v>
      </c>
      <c r="X283" s="31">
        <f t="shared" si="148"/>
        <v>0.9435445336391437</v>
      </c>
      <c r="AA283" s="32">
        <f t="shared" si="149"/>
        <v>42552</v>
      </c>
      <c r="AB283" s="32">
        <f t="shared" si="150"/>
        <v>42735</v>
      </c>
      <c r="AC283" s="49">
        <v>0</v>
      </c>
      <c r="AD283" s="1">
        <f t="shared" si="151"/>
        <v>0</v>
      </c>
      <c r="AE283" s="1">
        <f t="shared" si="152"/>
        <v>0</v>
      </c>
      <c r="AF283" s="1">
        <f t="shared" si="153"/>
        <v>0</v>
      </c>
      <c r="AG283" s="1">
        <f t="shared" si="154"/>
        <v>0</v>
      </c>
      <c r="AH283" s="1">
        <f t="shared" si="155"/>
        <v>0</v>
      </c>
      <c r="AI283" s="23">
        <f t="shared" si="156"/>
        <v>0</v>
      </c>
      <c r="AJ283" s="23">
        <f t="shared" si="157"/>
        <v>0</v>
      </c>
      <c r="AK283" s="23">
        <f t="shared" si="158"/>
        <v>0</v>
      </c>
      <c r="AL283" s="23">
        <f t="shared" si="159"/>
        <v>0</v>
      </c>
      <c r="AM283" s="23">
        <f t="shared" si="160"/>
        <v>0</v>
      </c>
      <c r="AN283" s="23">
        <f t="shared" si="161"/>
        <v>0</v>
      </c>
      <c r="AQ283" s="32">
        <f t="shared" si="162"/>
        <v>42736</v>
      </c>
      <c r="AR283" s="32">
        <f t="shared" si="163"/>
        <v>42916</v>
      </c>
      <c r="AS283" s="52">
        <v>26</v>
      </c>
      <c r="AT283" s="1">
        <f t="shared" si="164"/>
        <v>0</v>
      </c>
      <c r="AU283" s="1">
        <f t="shared" si="165"/>
        <v>47</v>
      </c>
      <c r="AV283" s="1">
        <f t="shared" si="166"/>
        <v>0</v>
      </c>
      <c r="AW283" s="1">
        <f t="shared" si="167"/>
        <v>0</v>
      </c>
      <c r="AX283" s="1">
        <f t="shared" si="168"/>
        <v>0</v>
      </c>
      <c r="AY283" s="23">
        <f t="shared" si="169"/>
        <v>0.25966850828729282</v>
      </c>
      <c r="AZ283" s="23">
        <f t="shared" si="170"/>
        <v>0.24500880155270582</v>
      </c>
      <c r="BA283" s="23">
        <f t="shared" si="171"/>
        <v>6.3702288403703511</v>
      </c>
      <c r="BB283" s="23">
        <f t="shared" si="172"/>
        <v>12.740457680740702</v>
      </c>
      <c r="BC283" s="23">
        <f t="shared" si="173"/>
        <v>0</v>
      </c>
      <c r="BD283" s="23">
        <f t="shared" si="174"/>
        <v>12.740457680740702</v>
      </c>
    </row>
    <row r="284" spans="1:56">
      <c r="A284" s="1" t="s">
        <v>20</v>
      </c>
      <c r="B284" s="1" t="s">
        <v>32</v>
      </c>
      <c r="C284" s="1" t="s">
        <v>22</v>
      </c>
      <c r="D284" s="1" t="s">
        <v>33</v>
      </c>
      <c r="E284" s="51" t="s">
        <v>107</v>
      </c>
      <c r="F284" s="51" t="s">
        <v>265</v>
      </c>
      <c r="G284" s="51" t="s">
        <v>109</v>
      </c>
      <c r="H284" s="51" t="s">
        <v>266</v>
      </c>
      <c r="I284" s="1" t="s">
        <v>111</v>
      </c>
      <c r="J284" s="51" t="s">
        <v>112</v>
      </c>
      <c r="K284" s="51" t="s">
        <v>112</v>
      </c>
      <c r="L284" s="51" t="s">
        <v>112</v>
      </c>
      <c r="M284" s="1">
        <v>2160439</v>
      </c>
      <c r="N284" s="52" t="s">
        <v>578</v>
      </c>
      <c r="O284" s="55">
        <f t="shared" si="176"/>
        <v>42870</v>
      </c>
      <c r="P284" s="55">
        <f>DATE(2022,12,12)</f>
        <v>44907</v>
      </c>
      <c r="Q284" s="51">
        <v>3660</v>
      </c>
      <c r="S284" s="51">
        <v>2.5</v>
      </c>
      <c r="U284" s="1">
        <f t="shared" si="145"/>
        <v>2038</v>
      </c>
      <c r="V284" s="31">
        <f t="shared" si="146"/>
        <v>1.7958783120706574</v>
      </c>
      <c r="W284" s="31">
        <f t="shared" si="147"/>
        <v>655.49558390579</v>
      </c>
      <c r="X284" s="31">
        <f t="shared" si="148"/>
        <v>0.81936947988223752</v>
      </c>
      <c r="AA284" s="32">
        <f t="shared" si="149"/>
        <v>42552</v>
      </c>
      <c r="AB284" s="32">
        <f t="shared" si="150"/>
        <v>42735</v>
      </c>
      <c r="AC284" s="49">
        <v>0</v>
      </c>
      <c r="AD284" s="1">
        <f t="shared" si="151"/>
        <v>0</v>
      </c>
      <c r="AE284" s="1">
        <f t="shared" si="152"/>
        <v>0</v>
      </c>
      <c r="AF284" s="1">
        <f t="shared" si="153"/>
        <v>0</v>
      </c>
      <c r="AG284" s="1">
        <f t="shared" si="154"/>
        <v>0</v>
      </c>
      <c r="AH284" s="1">
        <f t="shared" si="155"/>
        <v>0</v>
      </c>
      <c r="AI284" s="23">
        <f t="shared" si="156"/>
        <v>0</v>
      </c>
      <c r="AJ284" s="23">
        <f t="shared" si="157"/>
        <v>0</v>
      </c>
      <c r="AK284" s="23">
        <f t="shared" si="158"/>
        <v>0</v>
      </c>
      <c r="AL284" s="23">
        <f t="shared" si="159"/>
        <v>0</v>
      </c>
      <c r="AM284" s="23">
        <f t="shared" si="160"/>
        <v>0</v>
      </c>
      <c r="AN284" s="23">
        <f t="shared" si="161"/>
        <v>0</v>
      </c>
      <c r="AQ284" s="32">
        <f t="shared" si="162"/>
        <v>42736</v>
      </c>
      <c r="AR284" s="32">
        <f t="shared" si="163"/>
        <v>42916</v>
      </c>
      <c r="AS284" s="52">
        <v>30</v>
      </c>
      <c r="AT284" s="1">
        <f t="shared" si="164"/>
        <v>0</v>
      </c>
      <c r="AU284" s="1">
        <f t="shared" si="165"/>
        <v>47</v>
      </c>
      <c r="AV284" s="1">
        <f t="shared" si="166"/>
        <v>0</v>
      </c>
      <c r="AW284" s="1">
        <f t="shared" si="167"/>
        <v>0</v>
      </c>
      <c r="AX284" s="1">
        <f t="shared" si="168"/>
        <v>0</v>
      </c>
      <c r="AY284" s="23">
        <f t="shared" si="169"/>
        <v>0.25966850828729282</v>
      </c>
      <c r="AZ284" s="23">
        <f t="shared" si="170"/>
        <v>0.21276445057715559</v>
      </c>
      <c r="BA284" s="23">
        <f t="shared" si="171"/>
        <v>6.382933517314668</v>
      </c>
      <c r="BB284" s="23">
        <f t="shared" si="172"/>
        <v>15.95733379328667</v>
      </c>
      <c r="BC284" s="23">
        <f t="shared" si="173"/>
        <v>0</v>
      </c>
      <c r="BD284" s="23">
        <f t="shared" si="174"/>
        <v>15.95733379328667</v>
      </c>
    </row>
    <row r="285" spans="1:56">
      <c r="A285" s="1" t="s">
        <v>20</v>
      </c>
      <c r="B285" s="1" t="s">
        <v>32</v>
      </c>
      <c r="C285" s="1" t="s">
        <v>22</v>
      </c>
      <c r="D285" s="1" t="s">
        <v>33</v>
      </c>
      <c r="E285" s="51" t="s">
        <v>107</v>
      </c>
      <c r="F285" s="51" t="s">
        <v>114</v>
      </c>
      <c r="G285" s="51" t="s">
        <v>109</v>
      </c>
      <c r="H285" s="51" t="s">
        <v>152</v>
      </c>
      <c r="I285" s="1" t="s">
        <v>147</v>
      </c>
      <c r="J285" s="51" t="s">
        <v>112</v>
      </c>
      <c r="K285" s="51" t="s">
        <v>112</v>
      </c>
      <c r="L285" s="51" t="s">
        <v>112</v>
      </c>
      <c r="M285" s="1">
        <v>2160441</v>
      </c>
      <c r="N285" s="52" t="s">
        <v>579</v>
      </c>
      <c r="O285" s="55">
        <f t="shared" si="176"/>
        <v>42870</v>
      </c>
      <c r="P285" s="55">
        <f>DATE(2021,12,12)</f>
        <v>44542</v>
      </c>
      <c r="Q285" s="51">
        <v>3700</v>
      </c>
      <c r="S285" s="51">
        <v>2.5</v>
      </c>
      <c r="U285" s="1">
        <f t="shared" si="145"/>
        <v>1673</v>
      </c>
      <c r="V285" s="31">
        <f t="shared" si="146"/>
        <v>2.2115959354453079</v>
      </c>
      <c r="W285" s="31">
        <f t="shared" si="147"/>
        <v>807.23251643753736</v>
      </c>
      <c r="X285" s="31">
        <f t="shared" si="148"/>
        <v>1.0090406455469216</v>
      </c>
      <c r="AA285" s="32">
        <f t="shared" si="149"/>
        <v>42552</v>
      </c>
      <c r="AB285" s="32">
        <f t="shared" si="150"/>
        <v>42735</v>
      </c>
      <c r="AC285" s="49">
        <v>0</v>
      </c>
      <c r="AD285" s="1">
        <f t="shared" si="151"/>
        <v>0</v>
      </c>
      <c r="AE285" s="1">
        <f t="shared" si="152"/>
        <v>0</v>
      </c>
      <c r="AF285" s="1">
        <f t="shared" si="153"/>
        <v>0</v>
      </c>
      <c r="AG285" s="1">
        <f t="shared" si="154"/>
        <v>0</v>
      </c>
      <c r="AH285" s="1">
        <f t="shared" si="155"/>
        <v>0</v>
      </c>
      <c r="AI285" s="23">
        <f t="shared" si="156"/>
        <v>0</v>
      </c>
      <c r="AJ285" s="23">
        <f t="shared" si="157"/>
        <v>0</v>
      </c>
      <c r="AK285" s="23">
        <f t="shared" si="158"/>
        <v>0</v>
      </c>
      <c r="AL285" s="23">
        <f t="shared" si="159"/>
        <v>0</v>
      </c>
      <c r="AM285" s="23">
        <f t="shared" si="160"/>
        <v>0</v>
      </c>
      <c r="AN285" s="23">
        <f t="shared" si="161"/>
        <v>0</v>
      </c>
      <c r="AQ285" s="32">
        <f t="shared" si="162"/>
        <v>42736</v>
      </c>
      <c r="AR285" s="32">
        <f t="shared" si="163"/>
        <v>42916</v>
      </c>
      <c r="AS285" s="52">
        <v>32</v>
      </c>
      <c r="AT285" s="1">
        <f t="shared" si="164"/>
        <v>0</v>
      </c>
      <c r="AU285" s="1">
        <f t="shared" si="165"/>
        <v>47</v>
      </c>
      <c r="AV285" s="1">
        <f t="shared" si="166"/>
        <v>0</v>
      </c>
      <c r="AW285" s="1">
        <f t="shared" si="167"/>
        <v>0</v>
      </c>
      <c r="AX285" s="1">
        <f t="shared" si="168"/>
        <v>0</v>
      </c>
      <c r="AY285" s="23">
        <f t="shared" si="169"/>
        <v>0.25966850828729282</v>
      </c>
      <c r="AZ285" s="23">
        <f t="shared" si="170"/>
        <v>0.26201607923041614</v>
      </c>
      <c r="BA285" s="23">
        <f t="shared" si="171"/>
        <v>8.3845145353733166</v>
      </c>
      <c r="BB285" s="23">
        <f t="shared" si="172"/>
        <v>20.96128633843329</v>
      </c>
      <c r="BC285" s="23">
        <f t="shared" si="173"/>
        <v>0</v>
      </c>
      <c r="BD285" s="23">
        <f t="shared" si="174"/>
        <v>20.96128633843329</v>
      </c>
    </row>
    <row r="286" spans="1:56">
      <c r="A286" s="1" t="s">
        <v>20</v>
      </c>
      <c r="B286" s="1" t="s">
        <v>32</v>
      </c>
      <c r="C286" s="1" t="s">
        <v>22</v>
      </c>
      <c r="D286" s="1" t="s">
        <v>33</v>
      </c>
      <c r="E286" s="51" t="s">
        <v>107</v>
      </c>
      <c r="F286" s="51" t="s">
        <v>114</v>
      </c>
      <c r="G286" s="51" t="s">
        <v>109</v>
      </c>
      <c r="H286" s="51" t="s">
        <v>308</v>
      </c>
      <c r="I286" s="1" t="s">
        <v>309</v>
      </c>
      <c r="J286" s="51" t="s">
        <v>112</v>
      </c>
      <c r="K286" s="51" t="s">
        <v>112</v>
      </c>
      <c r="L286" s="51" t="s">
        <v>112</v>
      </c>
      <c r="M286" s="1">
        <v>2160448</v>
      </c>
      <c r="N286" s="52" t="s">
        <v>580</v>
      </c>
      <c r="O286" s="55">
        <f t="shared" si="176"/>
        <v>42870</v>
      </c>
      <c r="P286" s="55">
        <f>DATE(2020,12,12)</f>
        <v>44177</v>
      </c>
      <c r="Q286" s="51">
        <v>3399</v>
      </c>
      <c r="S286" s="51">
        <v>2.5</v>
      </c>
      <c r="U286" s="1">
        <f t="shared" si="145"/>
        <v>1308</v>
      </c>
      <c r="V286" s="31">
        <f t="shared" si="146"/>
        <v>2.5986238532110093</v>
      </c>
      <c r="W286" s="31">
        <f t="shared" si="147"/>
        <v>948.49770642201838</v>
      </c>
      <c r="X286" s="31">
        <f t="shared" si="148"/>
        <v>1.185622133027523</v>
      </c>
      <c r="AA286" s="32">
        <f t="shared" si="149"/>
        <v>42552</v>
      </c>
      <c r="AB286" s="32">
        <f t="shared" si="150"/>
        <v>42735</v>
      </c>
      <c r="AC286" s="49">
        <v>0</v>
      </c>
      <c r="AD286" s="1">
        <f t="shared" si="151"/>
        <v>0</v>
      </c>
      <c r="AE286" s="1">
        <f t="shared" si="152"/>
        <v>0</v>
      </c>
      <c r="AF286" s="1">
        <f t="shared" si="153"/>
        <v>0</v>
      </c>
      <c r="AG286" s="1">
        <f t="shared" si="154"/>
        <v>0</v>
      </c>
      <c r="AH286" s="1">
        <f t="shared" si="155"/>
        <v>0</v>
      </c>
      <c r="AI286" s="23">
        <f t="shared" si="156"/>
        <v>0</v>
      </c>
      <c r="AJ286" s="23">
        <f t="shared" si="157"/>
        <v>0</v>
      </c>
      <c r="AK286" s="23">
        <f t="shared" si="158"/>
        <v>0</v>
      </c>
      <c r="AL286" s="23">
        <f t="shared" si="159"/>
        <v>0</v>
      </c>
      <c r="AM286" s="23">
        <f t="shared" si="160"/>
        <v>0</v>
      </c>
      <c r="AN286" s="23">
        <f t="shared" si="161"/>
        <v>0</v>
      </c>
      <c r="AQ286" s="32">
        <f t="shared" si="162"/>
        <v>42736</v>
      </c>
      <c r="AR286" s="32">
        <f t="shared" si="163"/>
        <v>42916</v>
      </c>
      <c r="AS286" s="52">
        <v>40</v>
      </c>
      <c r="AT286" s="1">
        <f t="shared" si="164"/>
        <v>0</v>
      </c>
      <c r="AU286" s="1">
        <f t="shared" si="165"/>
        <v>47</v>
      </c>
      <c r="AV286" s="1">
        <f t="shared" si="166"/>
        <v>0</v>
      </c>
      <c r="AW286" s="1">
        <f t="shared" si="167"/>
        <v>0</v>
      </c>
      <c r="AX286" s="1">
        <f t="shared" si="168"/>
        <v>0</v>
      </c>
      <c r="AY286" s="23">
        <f t="shared" si="169"/>
        <v>0.25966850828729282</v>
      </c>
      <c r="AZ286" s="23">
        <f t="shared" si="170"/>
        <v>0.30786873067565512</v>
      </c>
      <c r="BA286" s="23">
        <f t="shared" si="171"/>
        <v>12.314749227026205</v>
      </c>
      <c r="BB286" s="23">
        <f t="shared" si="172"/>
        <v>30.786873067565512</v>
      </c>
      <c r="BC286" s="23">
        <f t="shared" si="173"/>
        <v>0</v>
      </c>
      <c r="BD286" s="23">
        <f t="shared" si="174"/>
        <v>30.786873067565512</v>
      </c>
    </row>
    <row r="287" spans="1:56">
      <c r="A287" s="1" t="s">
        <v>20</v>
      </c>
      <c r="B287" s="1" t="s">
        <v>32</v>
      </c>
      <c r="C287" s="1" t="s">
        <v>22</v>
      </c>
      <c r="D287" s="1" t="s">
        <v>33</v>
      </c>
      <c r="E287" s="51" t="s">
        <v>107</v>
      </c>
      <c r="F287" s="51" t="s">
        <v>114</v>
      </c>
      <c r="G287" s="51" t="s">
        <v>109</v>
      </c>
      <c r="H287" s="51" t="s">
        <v>315</v>
      </c>
      <c r="I287" s="1" t="s">
        <v>147</v>
      </c>
      <c r="J287" s="51" t="s">
        <v>112</v>
      </c>
      <c r="K287" s="51" t="s">
        <v>112</v>
      </c>
      <c r="L287" s="51" t="s">
        <v>112</v>
      </c>
      <c r="M287" s="1">
        <v>2160454</v>
      </c>
      <c r="N287" s="52" t="s">
        <v>581</v>
      </c>
      <c r="O287" s="55">
        <f t="shared" si="176"/>
        <v>42870</v>
      </c>
      <c r="P287" s="55">
        <f>DATE(2020,12,12)</f>
        <v>44177</v>
      </c>
      <c r="Q287" s="51">
        <v>3240</v>
      </c>
      <c r="S287" s="51">
        <v>2.5</v>
      </c>
      <c r="U287" s="1">
        <f t="shared" si="145"/>
        <v>1308</v>
      </c>
      <c r="V287" s="31">
        <f t="shared" si="146"/>
        <v>2.477064220183486</v>
      </c>
      <c r="W287" s="31">
        <f t="shared" si="147"/>
        <v>904.12844036697243</v>
      </c>
      <c r="X287" s="31">
        <f t="shared" si="148"/>
        <v>1.1301605504587156</v>
      </c>
      <c r="AA287" s="32">
        <f t="shared" si="149"/>
        <v>42552</v>
      </c>
      <c r="AB287" s="32">
        <f t="shared" si="150"/>
        <v>42735</v>
      </c>
      <c r="AC287" s="49">
        <v>0</v>
      </c>
      <c r="AD287" s="1">
        <f t="shared" si="151"/>
        <v>0</v>
      </c>
      <c r="AE287" s="1">
        <f t="shared" si="152"/>
        <v>0</v>
      </c>
      <c r="AF287" s="1">
        <f t="shared" si="153"/>
        <v>0</v>
      </c>
      <c r="AG287" s="1">
        <f t="shared" si="154"/>
        <v>0</v>
      </c>
      <c r="AH287" s="1">
        <f t="shared" si="155"/>
        <v>0</v>
      </c>
      <c r="AI287" s="23">
        <f t="shared" si="156"/>
        <v>0</v>
      </c>
      <c r="AJ287" s="23">
        <f t="shared" si="157"/>
        <v>0</v>
      </c>
      <c r="AK287" s="23">
        <f t="shared" si="158"/>
        <v>0</v>
      </c>
      <c r="AL287" s="23">
        <f t="shared" si="159"/>
        <v>0</v>
      </c>
      <c r="AM287" s="23">
        <f t="shared" si="160"/>
        <v>0</v>
      </c>
      <c r="AN287" s="23">
        <f t="shared" si="161"/>
        <v>0</v>
      </c>
      <c r="AQ287" s="32">
        <f t="shared" si="162"/>
        <v>42736</v>
      </c>
      <c r="AR287" s="32">
        <f t="shared" si="163"/>
        <v>42916</v>
      </c>
      <c r="AS287" s="52">
        <v>39</v>
      </c>
      <c r="AT287" s="1">
        <f t="shared" si="164"/>
        <v>0</v>
      </c>
      <c r="AU287" s="1">
        <f t="shared" si="165"/>
        <v>47</v>
      </c>
      <c r="AV287" s="1">
        <f t="shared" si="166"/>
        <v>0</v>
      </c>
      <c r="AW287" s="1">
        <f t="shared" si="167"/>
        <v>0</v>
      </c>
      <c r="AX287" s="1">
        <f t="shared" si="168"/>
        <v>0</v>
      </c>
      <c r="AY287" s="23">
        <f t="shared" si="169"/>
        <v>0.25966850828729282</v>
      </c>
      <c r="AZ287" s="23">
        <f t="shared" si="170"/>
        <v>0.2934671042627604</v>
      </c>
      <c r="BA287" s="23">
        <f t="shared" si="171"/>
        <v>11.445217066247656</v>
      </c>
      <c r="BB287" s="23">
        <f t="shared" si="172"/>
        <v>28.61304266561914</v>
      </c>
      <c r="BC287" s="23">
        <f t="shared" si="173"/>
        <v>0</v>
      </c>
      <c r="BD287" s="23">
        <f t="shared" si="174"/>
        <v>28.61304266561914</v>
      </c>
    </row>
    <row r="288" spans="1:56">
      <c r="A288" s="1" t="s">
        <v>20</v>
      </c>
      <c r="B288" s="1" t="s">
        <v>32</v>
      </c>
      <c r="C288" s="1" t="s">
        <v>22</v>
      </c>
      <c r="D288" s="1" t="s">
        <v>33</v>
      </c>
      <c r="E288" s="51" t="s">
        <v>107</v>
      </c>
      <c r="F288" s="51" t="s">
        <v>294</v>
      </c>
      <c r="G288" s="51" t="s">
        <v>109</v>
      </c>
      <c r="H288" s="51" t="s">
        <v>297</v>
      </c>
      <c r="I288" s="1" t="s">
        <v>147</v>
      </c>
      <c r="J288" s="51" t="s">
        <v>112</v>
      </c>
      <c r="K288" s="51" t="s">
        <v>112</v>
      </c>
      <c r="L288" s="51" t="s">
        <v>112</v>
      </c>
      <c r="M288" s="1">
        <v>2160461</v>
      </c>
      <c r="N288" s="52" t="s">
        <v>582</v>
      </c>
      <c r="O288" s="55">
        <f t="shared" si="176"/>
        <v>42870</v>
      </c>
      <c r="P288" s="55">
        <f>DATE(2020,12,12)</f>
        <v>44177</v>
      </c>
      <c r="Q288" s="51">
        <v>2507</v>
      </c>
      <c r="S288" s="51">
        <v>2</v>
      </c>
      <c r="U288" s="1">
        <f t="shared" si="145"/>
        <v>1308</v>
      </c>
      <c r="V288" s="31">
        <f t="shared" si="146"/>
        <v>1.9166666666666667</v>
      </c>
      <c r="W288" s="31">
        <f t="shared" si="147"/>
        <v>699.58333333333337</v>
      </c>
      <c r="X288" s="31">
        <f t="shared" si="148"/>
        <v>0.8744791666666667</v>
      </c>
      <c r="AA288" s="32">
        <f t="shared" si="149"/>
        <v>42552</v>
      </c>
      <c r="AB288" s="32">
        <f t="shared" si="150"/>
        <v>42735</v>
      </c>
      <c r="AC288" s="49">
        <v>0</v>
      </c>
      <c r="AD288" s="1">
        <f t="shared" si="151"/>
        <v>0</v>
      </c>
      <c r="AE288" s="1">
        <f t="shared" si="152"/>
        <v>0</v>
      </c>
      <c r="AF288" s="1">
        <f t="shared" si="153"/>
        <v>0</v>
      </c>
      <c r="AG288" s="1">
        <f t="shared" si="154"/>
        <v>0</v>
      </c>
      <c r="AH288" s="1">
        <f t="shared" si="155"/>
        <v>0</v>
      </c>
      <c r="AI288" s="23">
        <f t="shared" si="156"/>
        <v>0</v>
      </c>
      <c r="AJ288" s="23">
        <f t="shared" si="157"/>
        <v>0</v>
      </c>
      <c r="AK288" s="23">
        <f t="shared" si="158"/>
        <v>0</v>
      </c>
      <c r="AL288" s="23">
        <f t="shared" si="159"/>
        <v>0</v>
      </c>
      <c r="AM288" s="23">
        <f t="shared" si="160"/>
        <v>0</v>
      </c>
      <c r="AN288" s="23">
        <f t="shared" si="161"/>
        <v>0</v>
      </c>
      <c r="AQ288" s="32">
        <f t="shared" si="162"/>
        <v>42736</v>
      </c>
      <c r="AR288" s="32">
        <f t="shared" si="163"/>
        <v>42916</v>
      </c>
      <c r="AS288" s="52">
        <v>30</v>
      </c>
      <c r="AT288" s="1">
        <f t="shared" si="164"/>
        <v>0</v>
      </c>
      <c r="AU288" s="1">
        <f t="shared" si="165"/>
        <v>47</v>
      </c>
      <c r="AV288" s="1">
        <f t="shared" si="166"/>
        <v>0</v>
      </c>
      <c r="AW288" s="1">
        <f t="shared" si="167"/>
        <v>0</v>
      </c>
      <c r="AX288" s="1">
        <f t="shared" si="168"/>
        <v>0</v>
      </c>
      <c r="AY288" s="23">
        <f t="shared" si="169"/>
        <v>0.25966850828729282</v>
      </c>
      <c r="AZ288" s="23">
        <f t="shared" si="170"/>
        <v>0.22707470073664826</v>
      </c>
      <c r="BA288" s="23">
        <f t="shared" si="171"/>
        <v>6.8122410220994478</v>
      </c>
      <c r="BB288" s="23">
        <f t="shared" si="172"/>
        <v>13.624482044198896</v>
      </c>
      <c r="BC288" s="23">
        <f t="shared" si="173"/>
        <v>0</v>
      </c>
      <c r="BD288" s="23">
        <f t="shared" si="174"/>
        <v>13.624482044198896</v>
      </c>
    </row>
    <row r="289" spans="1:56">
      <c r="A289" s="1" t="s">
        <v>20</v>
      </c>
      <c r="B289" s="1" t="s">
        <v>32</v>
      </c>
      <c r="C289" s="1" t="s">
        <v>22</v>
      </c>
      <c r="D289" s="1" t="s">
        <v>33</v>
      </c>
      <c r="E289" s="51" t="s">
        <v>107</v>
      </c>
      <c r="F289" s="51" t="s">
        <v>294</v>
      </c>
      <c r="G289" s="51" t="s">
        <v>109</v>
      </c>
      <c r="H289" s="51" t="s">
        <v>295</v>
      </c>
      <c r="I289" s="1" t="s">
        <v>111</v>
      </c>
      <c r="J289" s="51" t="s">
        <v>112</v>
      </c>
      <c r="K289" s="51" t="s">
        <v>112</v>
      </c>
      <c r="L289" s="51" t="s">
        <v>112</v>
      </c>
      <c r="M289" s="1">
        <v>2160465</v>
      </c>
      <c r="N289" s="52" t="s">
        <v>583</v>
      </c>
      <c r="O289" s="55">
        <f t="shared" si="176"/>
        <v>42870</v>
      </c>
      <c r="P289" s="55">
        <f>DATE(2020,12,12)</f>
        <v>44177</v>
      </c>
      <c r="Q289" s="51">
        <v>2400</v>
      </c>
      <c r="S289" s="51">
        <v>2.5</v>
      </c>
      <c r="U289" s="1">
        <f t="shared" si="145"/>
        <v>1308</v>
      </c>
      <c r="V289" s="31">
        <f t="shared" si="146"/>
        <v>1.834862385321101</v>
      </c>
      <c r="W289" s="31">
        <f t="shared" si="147"/>
        <v>669.72477064220186</v>
      </c>
      <c r="X289" s="31">
        <f t="shared" si="148"/>
        <v>0.83715596330275233</v>
      </c>
      <c r="AA289" s="32">
        <f t="shared" si="149"/>
        <v>42552</v>
      </c>
      <c r="AB289" s="32">
        <f t="shared" si="150"/>
        <v>42735</v>
      </c>
      <c r="AC289" s="49">
        <v>0</v>
      </c>
      <c r="AD289" s="1">
        <f t="shared" si="151"/>
        <v>0</v>
      </c>
      <c r="AE289" s="1">
        <f t="shared" si="152"/>
        <v>0</v>
      </c>
      <c r="AF289" s="1">
        <f t="shared" si="153"/>
        <v>0</v>
      </c>
      <c r="AG289" s="1">
        <f t="shared" si="154"/>
        <v>0</v>
      </c>
      <c r="AH289" s="1">
        <f t="shared" si="155"/>
        <v>0</v>
      </c>
      <c r="AI289" s="23">
        <f t="shared" si="156"/>
        <v>0</v>
      </c>
      <c r="AJ289" s="23">
        <f t="shared" si="157"/>
        <v>0</v>
      </c>
      <c r="AK289" s="23">
        <f t="shared" si="158"/>
        <v>0</v>
      </c>
      <c r="AL289" s="23">
        <f t="shared" si="159"/>
        <v>0</v>
      </c>
      <c r="AM289" s="23">
        <f t="shared" si="160"/>
        <v>0</v>
      </c>
      <c r="AN289" s="23">
        <f t="shared" si="161"/>
        <v>0</v>
      </c>
      <c r="AQ289" s="32">
        <f t="shared" si="162"/>
        <v>42736</v>
      </c>
      <c r="AR289" s="32">
        <f t="shared" si="163"/>
        <v>42916</v>
      </c>
      <c r="AS289" s="52">
        <v>30</v>
      </c>
      <c r="AT289" s="1">
        <f t="shared" si="164"/>
        <v>0</v>
      </c>
      <c r="AU289" s="1">
        <f t="shared" si="165"/>
        <v>47</v>
      </c>
      <c r="AV289" s="1">
        <f t="shared" si="166"/>
        <v>0</v>
      </c>
      <c r="AW289" s="1">
        <f t="shared" si="167"/>
        <v>0</v>
      </c>
      <c r="AX289" s="1">
        <f t="shared" si="168"/>
        <v>0</v>
      </c>
      <c r="AY289" s="23">
        <f t="shared" si="169"/>
        <v>0.25966850828729282</v>
      </c>
      <c r="AZ289" s="23">
        <f t="shared" si="170"/>
        <v>0.21738304019463733</v>
      </c>
      <c r="BA289" s="23">
        <f t="shared" si="171"/>
        <v>6.5214912058391201</v>
      </c>
      <c r="BB289" s="23">
        <f t="shared" si="172"/>
        <v>16.303728014597802</v>
      </c>
      <c r="BC289" s="23">
        <f t="shared" si="173"/>
        <v>0</v>
      </c>
      <c r="BD289" s="23">
        <f t="shared" si="174"/>
        <v>16.303728014597802</v>
      </c>
    </row>
    <row r="290" spans="1:56">
      <c r="A290" s="1" t="s">
        <v>20</v>
      </c>
      <c r="B290" s="1" t="s">
        <v>32</v>
      </c>
      <c r="C290" s="1" t="s">
        <v>22</v>
      </c>
      <c r="D290" s="1" t="s">
        <v>33</v>
      </c>
      <c r="E290" s="51" t="s">
        <v>107</v>
      </c>
      <c r="F290" s="51" t="s">
        <v>294</v>
      </c>
      <c r="G290" s="51" t="s">
        <v>109</v>
      </c>
      <c r="H290" s="51" t="s">
        <v>305</v>
      </c>
      <c r="I290" s="1" t="s">
        <v>234</v>
      </c>
      <c r="J290" s="51" t="s">
        <v>112</v>
      </c>
      <c r="K290" s="51" t="s">
        <v>112</v>
      </c>
      <c r="L290" s="51" t="s">
        <v>112</v>
      </c>
      <c r="M290" s="1">
        <v>2165599</v>
      </c>
      <c r="N290" s="52" t="s">
        <v>584</v>
      </c>
      <c r="O290" s="55">
        <f t="shared" si="176"/>
        <v>42870</v>
      </c>
      <c r="P290" s="55">
        <f>DATE(2020,6,16)</f>
        <v>43998</v>
      </c>
      <c r="Q290" s="51">
        <v>2057</v>
      </c>
      <c r="S290" s="51">
        <v>1</v>
      </c>
      <c r="U290" s="1">
        <f t="shared" si="145"/>
        <v>1129</v>
      </c>
      <c r="V290" s="31">
        <f t="shared" si="146"/>
        <v>1.8219663418954828</v>
      </c>
      <c r="W290" s="31">
        <f t="shared" si="147"/>
        <v>665.01771479185118</v>
      </c>
      <c r="X290" s="31">
        <f t="shared" si="148"/>
        <v>0.83127214348981393</v>
      </c>
      <c r="AA290" s="32">
        <f t="shared" si="149"/>
        <v>42552</v>
      </c>
      <c r="AB290" s="32">
        <f t="shared" si="150"/>
        <v>42735</v>
      </c>
      <c r="AC290" s="49">
        <v>0</v>
      </c>
      <c r="AD290" s="1">
        <f t="shared" si="151"/>
        <v>0</v>
      </c>
      <c r="AE290" s="1">
        <f t="shared" si="152"/>
        <v>0</v>
      </c>
      <c r="AF290" s="1">
        <f t="shared" si="153"/>
        <v>0</v>
      </c>
      <c r="AG290" s="1">
        <f t="shared" si="154"/>
        <v>0</v>
      </c>
      <c r="AH290" s="1">
        <f t="shared" si="155"/>
        <v>0</v>
      </c>
      <c r="AI290" s="23">
        <f t="shared" si="156"/>
        <v>0</v>
      </c>
      <c r="AJ290" s="23">
        <f t="shared" si="157"/>
        <v>0</v>
      </c>
      <c r="AK290" s="23">
        <f t="shared" si="158"/>
        <v>0</v>
      </c>
      <c r="AL290" s="23">
        <f t="shared" si="159"/>
        <v>0</v>
      </c>
      <c r="AM290" s="23">
        <f t="shared" si="160"/>
        <v>0</v>
      </c>
      <c r="AN290" s="23">
        <f t="shared" si="161"/>
        <v>0</v>
      </c>
      <c r="AQ290" s="32">
        <f t="shared" si="162"/>
        <v>42736</v>
      </c>
      <c r="AR290" s="32">
        <f t="shared" si="163"/>
        <v>42916</v>
      </c>
      <c r="AS290" s="52">
        <v>40</v>
      </c>
      <c r="AT290" s="1">
        <f t="shared" si="164"/>
        <v>0</v>
      </c>
      <c r="AU290" s="1">
        <f t="shared" si="165"/>
        <v>47</v>
      </c>
      <c r="AV290" s="1">
        <f t="shared" si="166"/>
        <v>0</v>
      </c>
      <c r="AW290" s="1">
        <f t="shared" si="167"/>
        <v>0</v>
      </c>
      <c r="AX290" s="1">
        <f t="shared" si="168"/>
        <v>0</v>
      </c>
      <c r="AY290" s="23">
        <f t="shared" si="169"/>
        <v>0.25966850828729282</v>
      </c>
      <c r="AZ290" s="23">
        <f t="shared" si="170"/>
        <v>0.21585519748078041</v>
      </c>
      <c r="BA290" s="23">
        <f t="shared" si="171"/>
        <v>8.6342078992312175</v>
      </c>
      <c r="BB290" s="23">
        <f t="shared" si="172"/>
        <v>8.6342078992312175</v>
      </c>
      <c r="BC290" s="23">
        <f t="shared" si="173"/>
        <v>0</v>
      </c>
      <c r="BD290" s="23">
        <f t="shared" si="174"/>
        <v>8.6342078992312175</v>
      </c>
    </row>
    <row r="291" spans="1:56">
      <c r="A291" s="1" t="s">
        <v>20</v>
      </c>
      <c r="B291" s="1" t="s">
        <v>32</v>
      </c>
      <c r="C291" s="1" t="s">
        <v>22</v>
      </c>
      <c r="D291" s="1" t="s">
        <v>33</v>
      </c>
      <c r="E291" s="51" t="s">
        <v>107</v>
      </c>
      <c r="F291" s="51" t="s">
        <v>114</v>
      </c>
      <c r="G291" s="51" t="s">
        <v>109</v>
      </c>
      <c r="H291" s="51" t="s">
        <v>317</v>
      </c>
      <c r="I291" s="1" t="s">
        <v>116</v>
      </c>
      <c r="J291" s="51" t="s">
        <v>112</v>
      </c>
      <c r="K291" s="51" t="s">
        <v>112</v>
      </c>
      <c r="L291" s="51" t="s">
        <v>112</v>
      </c>
      <c r="M291" s="1">
        <v>2165601</v>
      </c>
      <c r="N291" s="52" t="s">
        <v>585</v>
      </c>
      <c r="O291" s="55">
        <f t="shared" si="176"/>
        <v>42870</v>
      </c>
      <c r="P291" s="55">
        <f>DATE(2020,12,12)</f>
        <v>44177</v>
      </c>
      <c r="Q291" s="51">
        <v>3267</v>
      </c>
      <c r="S291" s="51">
        <v>2.5</v>
      </c>
      <c r="U291" s="1">
        <f t="shared" si="145"/>
        <v>1308</v>
      </c>
      <c r="V291" s="31">
        <f t="shared" si="146"/>
        <v>2.4977064220183487</v>
      </c>
      <c r="W291" s="31">
        <f t="shared" si="147"/>
        <v>911.66284403669727</v>
      </c>
      <c r="X291" s="31">
        <f t="shared" si="148"/>
        <v>1.1395785550458717</v>
      </c>
      <c r="AA291" s="32">
        <f t="shared" si="149"/>
        <v>42552</v>
      </c>
      <c r="AB291" s="32">
        <f t="shared" si="150"/>
        <v>42735</v>
      </c>
      <c r="AC291" s="49">
        <v>0</v>
      </c>
      <c r="AD291" s="1">
        <f t="shared" si="151"/>
        <v>0</v>
      </c>
      <c r="AE291" s="1">
        <f t="shared" si="152"/>
        <v>0</v>
      </c>
      <c r="AF291" s="1">
        <f t="shared" si="153"/>
        <v>0</v>
      </c>
      <c r="AG291" s="1">
        <f t="shared" si="154"/>
        <v>0</v>
      </c>
      <c r="AH291" s="1">
        <f t="shared" si="155"/>
        <v>0</v>
      </c>
      <c r="AI291" s="23">
        <f t="shared" si="156"/>
        <v>0</v>
      </c>
      <c r="AJ291" s="23">
        <f t="shared" si="157"/>
        <v>0</v>
      </c>
      <c r="AK291" s="23">
        <f t="shared" si="158"/>
        <v>0</v>
      </c>
      <c r="AL291" s="23">
        <f t="shared" si="159"/>
        <v>0</v>
      </c>
      <c r="AM291" s="23">
        <f t="shared" si="160"/>
        <v>0</v>
      </c>
      <c r="AN291" s="23">
        <f t="shared" si="161"/>
        <v>0</v>
      </c>
      <c r="AQ291" s="32">
        <f t="shared" si="162"/>
        <v>42736</v>
      </c>
      <c r="AR291" s="32">
        <f t="shared" si="163"/>
        <v>42916</v>
      </c>
      <c r="AS291" s="52">
        <v>40</v>
      </c>
      <c r="AT291" s="1">
        <f t="shared" si="164"/>
        <v>0</v>
      </c>
      <c r="AU291" s="1">
        <f t="shared" si="165"/>
        <v>47</v>
      </c>
      <c r="AV291" s="1">
        <f t="shared" si="166"/>
        <v>0</v>
      </c>
      <c r="AW291" s="1">
        <f t="shared" si="167"/>
        <v>0</v>
      </c>
      <c r="AX291" s="1">
        <f t="shared" si="168"/>
        <v>0</v>
      </c>
      <c r="AY291" s="23">
        <f t="shared" si="169"/>
        <v>0.25966850828729282</v>
      </c>
      <c r="AZ291" s="23">
        <f t="shared" si="170"/>
        <v>0.2959126634649501</v>
      </c>
      <c r="BA291" s="23">
        <f t="shared" si="171"/>
        <v>11.836506538598004</v>
      </c>
      <c r="BB291" s="23">
        <f t="shared" si="172"/>
        <v>29.591266346495008</v>
      </c>
      <c r="BC291" s="23">
        <f t="shared" si="173"/>
        <v>0</v>
      </c>
      <c r="BD291" s="23">
        <f t="shared" si="174"/>
        <v>29.591266346495008</v>
      </c>
    </row>
    <row r="292" spans="1:56">
      <c r="A292" s="1" t="s">
        <v>20</v>
      </c>
      <c r="B292" s="1" t="s">
        <v>32</v>
      </c>
      <c r="C292" s="1" t="s">
        <v>22</v>
      </c>
      <c r="D292" s="1" t="s">
        <v>33</v>
      </c>
      <c r="E292" s="51" t="s">
        <v>107</v>
      </c>
      <c r="F292" s="51" t="s">
        <v>294</v>
      </c>
      <c r="G292" s="51" t="s">
        <v>109</v>
      </c>
      <c r="H292" s="51" t="s">
        <v>303</v>
      </c>
      <c r="I292" s="1" t="s">
        <v>128</v>
      </c>
      <c r="J292" s="51" t="s">
        <v>112</v>
      </c>
      <c r="K292" s="51" t="s">
        <v>112</v>
      </c>
      <c r="L292" s="51" t="s">
        <v>112</v>
      </c>
      <c r="M292" s="1">
        <v>2165605</v>
      </c>
      <c r="N292" s="52" t="s">
        <v>586</v>
      </c>
      <c r="O292" s="55">
        <f t="shared" si="176"/>
        <v>42870</v>
      </c>
      <c r="P292" s="55">
        <f>DATE(2020,12,12)</f>
        <v>44177</v>
      </c>
      <c r="Q292" s="51">
        <v>2800</v>
      </c>
      <c r="S292" s="51">
        <v>2.5</v>
      </c>
      <c r="U292" s="1">
        <f t="shared" si="145"/>
        <v>1308</v>
      </c>
      <c r="V292" s="31">
        <f t="shared" si="146"/>
        <v>2.1406727828746179</v>
      </c>
      <c r="W292" s="31">
        <f t="shared" si="147"/>
        <v>781.34556574923556</v>
      </c>
      <c r="X292" s="31">
        <f t="shared" si="148"/>
        <v>0.97668195718654449</v>
      </c>
      <c r="AA292" s="32">
        <f t="shared" si="149"/>
        <v>42552</v>
      </c>
      <c r="AB292" s="32">
        <f t="shared" si="150"/>
        <v>42735</v>
      </c>
      <c r="AC292" s="49">
        <v>0</v>
      </c>
      <c r="AD292" s="1">
        <f t="shared" si="151"/>
        <v>0</v>
      </c>
      <c r="AE292" s="1">
        <f t="shared" si="152"/>
        <v>0</v>
      </c>
      <c r="AF292" s="1">
        <f t="shared" si="153"/>
        <v>0</v>
      </c>
      <c r="AG292" s="1">
        <f t="shared" si="154"/>
        <v>0</v>
      </c>
      <c r="AH292" s="1">
        <f t="shared" si="155"/>
        <v>0</v>
      </c>
      <c r="AI292" s="23">
        <f t="shared" si="156"/>
        <v>0</v>
      </c>
      <c r="AJ292" s="23">
        <f t="shared" si="157"/>
        <v>0</v>
      </c>
      <c r="AK292" s="23">
        <f t="shared" si="158"/>
        <v>0</v>
      </c>
      <c r="AL292" s="23">
        <f t="shared" si="159"/>
        <v>0</v>
      </c>
      <c r="AM292" s="23">
        <f t="shared" si="160"/>
        <v>0</v>
      </c>
      <c r="AN292" s="23">
        <f t="shared" si="161"/>
        <v>0</v>
      </c>
      <c r="AQ292" s="32">
        <f t="shared" si="162"/>
        <v>42736</v>
      </c>
      <c r="AR292" s="32">
        <f t="shared" si="163"/>
        <v>42916</v>
      </c>
      <c r="AS292" s="52">
        <v>25</v>
      </c>
      <c r="AT292" s="1">
        <f t="shared" si="164"/>
        <v>0</v>
      </c>
      <c r="AU292" s="1">
        <f t="shared" si="165"/>
        <v>47</v>
      </c>
      <c r="AV292" s="1">
        <f t="shared" si="166"/>
        <v>0</v>
      </c>
      <c r="AW292" s="1">
        <f t="shared" si="167"/>
        <v>0</v>
      </c>
      <c r="AX292" s="1">
        <f t="shared" si="168"/>
        <v>0</v>
      </c>
      <c r="AY292" s="23">
        <f t="shared" si="169"/>
        <v>0.25966850828729282</v>
      </c>
      <c r="AZ292" s="23">
        <f t="shared" si="170"/>
        <v>0.2536135468937436</v>
      </c>
      <c r="BA292" s="23">
        <f t="shared" si="171"/>
        <v>6.3403386723435897</v>
      </c>
      <c r="BB292" s="23">
        <f t="shared" si="172"/>
        <v>15.850846680858975</v>
      </c>
      <c r="BC292" s="23">
        <f t="shared" si="173"/>
        <v>0</v>
      </c>
      <c r="BD292" s="23">
        <f t="shared" si="174"/>
        <v>15.850846680858975</v>
      </c>
    </row>
    <row r="293" spans="1:56">
      <c r="A293" s="1" t="s">
        <v>20</v>
      </c>
      <c r="B293" s="1" t="s">
        <v>32</v>
      </c>
      <c r="C293" s="1" t="s">
        <v>22</v>
      </c>
      <c r="D293" s="1" t="s">
        <v>33</v>
      </c>
      <c r="E293" s="51" t="s">
        <v>107</v>
      </c>
      <c r="F293" s="51" t="s">
        <v>114</v>
      </c>
      <c r="G293" s="51" t="s">
        <v>109</v>
      </c>
      <c r="H293" s="51" t="s">
        <v>311</v>
      </c>
      <c r="I293" s="1" t="s">
        <v>111</v>
      </c>
      <c r="J293" s="51" t="s">
        <v>112</v>
      </c>
      <c r="K293" s="51" t="s">
        <v>112</v>
      </c>
      <c r="L293" s="51" t="s">
        <v>112</v>
      </c>
      <c r="M293" s="1">
        <v>2165607</v>
      </c>
      <c r="N293" s="52" t="s">
        <v>587</v>
      </c>
      <c r="O293" s="55">
        <f t="shared" si="176"/>
        <v>42870</v>
      </c>
      <c r="P293" s="55">
        <f>DATE(2021,12,12)</f>
        <v>44542</v>
      </c>
      <c r="Q293" s="51">
        <v>3583</v>
      </c>
      <c r="S293" s="51">
        <v>2.5</v>
      </c>
      <c r="U293" s="1">
        <f t="shared" si="145"/>
        <v>1673</v>
      </c>
      <c r="V293" s="31">
        <f t="shared" si="146"/>
        <v>2.1416616855947401</v>
      </c>
      <c r="W293" s="31">
        <f t="shared" si="147"/>
        <v>781.70651524208017</v>
      </c>
      <c r="X293" s="31">
        <f t="shared" si="148"/>
        <v>0.97713314405260021</v>
      </c>
      <c r="AA293" s="32">
        <f t="shared" si="149"/>
        <v>42552</v>
      </c>
      <c r="AB293" s="32">
        <f t="shared" si="150"/>
        <v>42735</v>
      </c>
      <c r="AC293" s="49">
        <v>0</v>
      </c>
      <c r="AD293" s="1">
        <f t="shared" si="151"/>
        <v>0</v>
      </c>
      <c r="AE293" s="1">
        <f t="shared" si="152"/>
        <v>0</v>
      </c>
      <c r="AF293" s="1">
        <f t="shared" si="153"/>
        <v>0</v>
      </c>
      <c r="AG293" s="1">
        <f t="shared" si="154"/>
        <v>0</v>
      </c>
      <c r="AH293" s="1">
        <f t="shared" si="155"/>
        <v>0</v>
      </c>
      <c r="AI293" s="23">
        <f t="shared" si="156"/>
        <v>0</v>
      </c>
      <c r="AJ293" s="23">
        <f t="shared" si="157"/>
        <v>0</v>
      </c>
      <c r="AK293" s="23">
        <f t="shared" si="158"/>
        <v>0</v>
      </c>
      <c r="AL293" s="23">
        <f t="shared" si="159"/>
        <v>0</v>
      </c>
      <c r="AM293" s="23">
        <f t="shared" si="160"/>
        <v>0</v>
      </c>
      <c r="AN293" s="23">
        <f t="shared" si="161"/>
        <v>0</v>
      </c>
      <c r="AQ293" s="32">
        <f t="shared" si="162"/>
        <v>42736</v>
      </c>
      <c r="AR293" s="32">
        <f t="shared" si="163"/>
        <v>42916</v>
      </c>
      <c r="AS293" s="52">
        <v>40</v>
      </c>
      <c r="AT293" s="1">
        <f t="shared" si="164"/>
        <v>0</v>
      </c>
      <c r="AU293" s="1">
        <f t="shared" si="165"/>
        <v>47</v>
      </c>
      <c r="AV293" s="1">
        <f t="shared" si="166"/>
        <v>0</v>
      </c>
      <c r="AW293" s="1">
        <f t="shared" si="167"/>
        <v>0</v>
      </c>
      <c r="AX293" s="1">
        <f t="shared" si="168"/>
        <v>0</v>
      </c>
      <c r="AY293" s="23">
        <f t="shared" si="169"/>
        <v>0.25966850828729282</v>
      </c>
      <c r="AZ293" s="23">
        <f t="shared" si="170"/>
        <v>0.2537307059142111</v>
      </c>
      <c r="BA293" s="23">
        <f t="shared" si="171"/>
        <v>10.149228236568444</v>
      </c>
      <c r="BB293" s="23">
        <f t="shared" si="172"/>
        <v>25.373070591421111</v>
      </c>
      <c r="BC293" s="23">
        <f t="shared" si="173"/>
        <v>0</v>
      </c>
      <c r="BD293" s="23">
        <f t="shared" si="174"/>
        <v>25.373070591421111</v>
      </c>
    </row>
    <row r="294" spans="1:56">
      <c r="A294" s="1" t="s">
        <v>20</v>
      </c>
      <c r="B294" s="1" t="s">
        <v>32</v>
      </c>
      <c r="C294" s="1" t="s">
        <v>22</v>
      </c>
      <c r="D294" s="1" t="s">
        <v>33</v>
      </c>
      <c r="E294" s="51" t="s">
        <v>107</v>
      </c>
      <c r="F294" s="51" t="s">
        <v>114</v>
      </c>
      <c r="G294" s="51" t="s">
        <v>109</v>
      </c>
      <c r="H294" s="51" t="s">
        <v>130</v>
      </c>
      <c r="I294" s="1" t="s">
        <v>131</v>
      </c>
      <c r="J294" s="51" t="s">
        <v>112</v>
      </c>
      <c r="K294" s="51" t="s">
        <v>112</v>
      </c>
      <c r="L294" s="51" t="s">
        <v>112</v>
      </c>
      <c r="M294" s="1">
        <v>2165611</v>
      </c>
      <c r="N294" s="52" t="s">
        <v>588</v>
      </c>
      <c r="O294" s="55">
        <f t="shared" si="176"/>
        <v>42870</v>
      </c>
      <c r="P294" s="55">
        <f>DATE(2021,12,12)</f>
        <v>44542</v>
      </c>
      <c r="Q294" s="51">
        <v>2800</v>
      </c>
      <c r="S294" s="51">
        <v>2.5</v>
      </c>
      <c r="U294" s="1">
        <f t="shared" si="145"/>
        <v>1673</v>
      </c>
      <c r="V294" s="31">
        <f t="shared" si="146"/>
        <v>1.6736401673640167</v>
      </c>
      <c r="W294" s="31">
        <f t="shared" si="147"/>
        <v>610.87866108786613</v>
      </c>
      <c r="X294" s="31">
        <f t="shared" si="148"/>
        <v>0.76359832635983271</v>
      </c>
      <c r="AA294" s="32">
        <f t="shared" si="149"/>
        <v>42552</v>
      </c>
      <c r="AB294" s="32">
        <f t="shared" si="150"/>
        <v>42735</v>
      </c>
      <c r="AC294" s="49">
        <v>0</v>
      </c>
      <c r="AD294" s="1">
        <f t="shared" si="151"/>
        <v>0</v>
      </c>
      <c r="AE294" s="1">
        <f t="shared" si="152"/>
        <v>0</v>
      </c>
      <c r="AF294" s="1">
        <f t="shared" si="153"/>
        <v>0</v>
      </c>
      <c r="AG294" s="1">
        <f t="shared" si="154"/>
        <v>0</v>
      </c>
      <c r="AH294" s="1">
        <f t="shared" si="155"/>
        <v>0</v>
      </c>
      <c r="AI294" s="23">
        <f t="shared" si="156"/>
        <v>0</v>
      </c>
      <c r="AJ294" s="23">
        <f t="shared" si="157"/>
        <v>0</v>
      </c>
      <c r="AK294" s="23">
        <f t="shared" si="158"/>
        <v>0</v>
      </c>
      <c r="AL294" s="23">
        <f t="shared" si="159"/>
        <v>0</v>
      </c>
      <c r="AM294" s="23">
        <f t="shared" si="160"/>
        <v>0</v>
      </c>
      <c r="AN294" s="23">
        <f t="shared" si="161"/>
        <v>0</v>
      </c>
      <c r="AQ294" s="32">
        <f t="shared" si="162"/>
        <v>42736</v>
      </c>
      <c r="AR294" s="32">
        <f t="shared" si="163"/>
        <v>42916</v>
      </c>
      <c r="AS294" s="52">
        <v>41</v>
      </c>
      <c r="AT294" s="1">
        <f t="shared" si="164"/>
        <v>0</v>
      </c>
      <c r="AU294" s="1">
        <f t="shared" si="165"/>
        <v>47</v>
      </c>
      <c r="AV294" s="1">
        <f t="shared" si="166"/>
        <v>0</v>
      </c>
      <c r="AW294" s="1">
        <f t="shared" si="167"/>
        <v>0</v>
      </c>
      <c r="AX294" s="1">
        <f t="shared" si="168"/>
        <v>0</v>
      </c>
      <c r="AY294" s="23">
        <f t="shared" si="169"/>
        <v>0.25966850828729282</v>
      </c>
      <c r="AZ294" s="23">
        <f t="shared" si="170"/>
        <v>0.19828243833653114</v>
      </c>
      <c r="BA294" s="23">
        <f t="shared" si="171"/>
        <v>8.1295799717977761</v>
      </c>
      <c r="BB294" s="23">
        <f t="shared" si="172"/>
        <v>20.323949929494439</v>
      </c>
      <c r="BC294" s="23">
        <f t="shared" si="173"/>
        <v>0</v>
      </c>
      <c r="BD294" s="23">
        <f t="shared" si="174"/>
        <v>20.323949929494439</v>
      </c>
    </row>
    <row r="295" spans="1:56">
      <c r="A295" s="1" t="s">
        <v>20</v>
      </c>
      <c r="B295" s="1" t="s">
        <v>32</v>
      </c>
      <c r="C295" s="1" t="s">
        <v>22</v>
      </c>
      <c r="D295" s="1" t="s">
        <v>33</v>
      </c>
      <c r="E295" s="51" t="s">
        <v>107</v>
      </c>
      <c r="F295" s="51" t="s">
        <v>265</v>
      </c>
      <c r="G295" s="51" t="s">
        <v>109</v>
      </c>
      <c r="H295" s="51" t="s">
        <v>269</v>
      </c>
      <c r="I295" s="1" t="s">
        <v>125</v>
      </c>
      <c r="J295" s="51" t="s">
        <v>112</v>
      </c>
      <c r="K295" s="51" t="s">
        <v>112</v>
      </c>
      <c r="L295" s="51" t="s">
        <v>112</v>
      </c>
      <c r="M295" s="1">
        <v>2165613</v>
      </c>
      <c r="N295" s="52" t="s">
        <v>589</v>
      </c>
      <c r="O295" s="55">
        <f t="shared" si="176"/>
        <v>42870</v>
      </c>
      <c r="P295" s="55">
        <f>DATE(2022,12,12)</f>
        <v>44907</v>
      </c>
      <c r="Q295" s="51">
        <v>3700</v>
      </c>
      <c r="S295" s="51">
        <v>2.5</v>
      </c>
      <c r="U295" s="1">
        <f t="shared" si="145"/>
        <v>2038</v>
      </c>
      <c r="V295" s="31">
        <f t="shared" si="146"/>
        <v>1.8155053974484789</v>
      </c>
      <c r="W295" s="31">
        <f t="shared" si="147"/>
        <v>662.65947006869476</v>
      </c>
      <c r="X295" s="31">
        <f t="shared" si="148"/>
        <v>0.82832433758586843</v>
      </c>
      <c r="AA295" s="32">
        <f t="shared" si="149"/>
        <v>42552</v>
      </c>
      <c r="AB295" s="32">
        <f t="shared" si="150"/>
        <v>42735</v>
      </c>
      <c r="AC295" s="49">
        <v>0</v>
      </c>
      <c r="AD295" s="1">
        <f t="shared" si="151"/>
        <v>0</v>
      </c>
      <c r="AE295" s="1">
        <f t="shared" si="152"/>
        <v>0</v>
      </c>
      <c r="AF295" s="1">
        <f t="shared" si="153"/>
        <v>0</v>
      </c>
      <c r="AG295" s="1">
        <f t="shared" si="154"/>
        <v>0</v>
      </c>
      <c r="AH295" s="1">
        <f t="shared" si="155"/>
        <v>0</v>
      </c>
      <c r="AI295" s="23">
        <f t="shared" si="156"/>
        <v>0</v>
      </c>
      <c r="AJ295" s="23">
        <f t="shared" si="157"/>
        <v>0</v>
      </c>
      <c r="AK295" s="23">
        <f t="shared" si="158"/>
        <v>0</v>
      </c>
      <c r="AL295" s="23">
        <f t="shared" si="159"/>
        <v>0</v>
      </c>
      <c r="AM295" s="23">
        <f t="shared" si="160"/>
        <v>0</v>
      </c>
      <c r="AN295" s="23">
        <f t="shared" si="161"/>
        <v>0</v>
      </c>
      <c r="AQ295" s="32">
        <f t="shared" si="162"/>
        <v>42736</v>
      </c>
      <c r="AR295" s="32">
        <f t="shared" si="163"/>
        <v>42916</v>
      </c>
      <c r="AS295" s="52">
        <v>30</v>
      </c>
      <c r="AT295" s="1">
        <f t="shared" si="164"/>
        <v>0</v>
      </c>
      <c r="AU295" s="1">
        <f t="shared" si="165"/>
        <v>47</v>
      </c>
      <c r="AV295" s="1">
        <f t="shared" si="166"/>
        <v>0</v>
      </c>
      <c r="AW295" s="1">
        <f t="shared" si="167"/>
        <v>0</v>
      </c>
      <c r="AX295" s="1">
        <f t="shared" si="168"/>
        <v>0</v>
      </c>
      <c r="AY295" s="23">
        <f t="shared" si="169"/>
        <v>0.25966850828729282</v>
      </c>
      <c r="AZ295" s="23">
        <f t="shared" si="170"/>
        <v>0.21508974511898241</v>
      </c>
      <c r="BA295" s="23">
        <f t="shared" si="171"/>
        <v>6.4526923535694722</v>
      </c>
      <c r="BB295" s="23">
        <f t="shared" si="172"/>
        <v>16.13173088392368</v>
      </c>
      <c r="BC295" s="23">
        <f t="shared" si="173"/>
        <v>0</v>
      </c>
      <c r="BD295" s="23">
        <f t="shared" si="174"/>
        <v>16.13173088392368</v>
      </c>
    </row>
    <row r="296" spans="1:56">
      <c r="A296" s="1" t="s">
        <v>20</v>
      </c>
      <c r="B296" s="1" t="s">
        <v>32</v>
      </c>
      <c r="C296" s="1" t="s">
        <v>22</v>
      </c>
      <c r="D296" s="1" t="s">
        <v>33</v>
      </c>
      <c r="E296" s="51" t="s">
        <v>107</v>
      </c>
      <c r="F296" s="51" t="s">
        <v>108</v>
      </c>
      <c r="G296" s="51" t="s">
        <v>109</v>
      </c>
      <c r="H296" s="51" t="s">
        <v>124</v>
      </c>
      <c r="I296" s="1" t="s">
        <v>125</v>
      </c>
      <c r="J296" s="51" t="s">
        <v>112</v>
      </c>
      <c r="K296" s="51" t="s">
        <v>112</v>
      </c>
      <c r="L296" s="51" t="s">
        <v>112</v>
      </c>
      <c r="M296" s="1">
        <v>2167170</v>
      </c>
      <c r="N296" s="52" t="s">
        <v>590</v>
      </c>
      <c r="O296" s="55">
        <f t="shared" si="176"/>
        <v>42870</v>
      </c>
      <c r="P296" s="55">
        <f>DATE(2020,12,12)</f>
        <v>44177</v>
      </c>
      <c r="Q296" s="51">
        <v>3234</v>
      </c>
      <c r="S296" s="51">
        <v>2.5</v>
      </c>
      <c r="U296" s="1">
        <f t="shared" si="145"/>
        <v>1308</v>
      </c>
      <c r="V296" s="31">
        <f t="shared" si="146"/>
        <v>2.4724770642201834</v>
      </c>
      <c r="W296" s="31">
        <f t="shared" si="147"/>
        <v>902.45412844036696</v>
      </c>
      <c r="X296" s="31">
        <f t="shared" si="148"/>
        <v>1.1280676605504587</v>
      </c>
      <c r="AA296" s="32">
        <f t="shared" si="149"/>
        <v>42552</v>
      </c>
      <c r="AB296" s="32">
        <f t="shared" si="150"/>
        <v>42735</v>
      </c>
      <c r="AC296" s="49">
        <v>0</v>
      </c>
      <c r="AD296" s="1">
        <f t="shared" si="151"/>
        <v>0</v>
      </c>
      <c r="AE296" s="1">
        <f t="shared" si="152"/>
        <v>0</v>
      </c>
      <c r="AF296" s="1">
        <f t="shared" si="153"/>
        <v>0</v>
      </c>
      <c r="AG296" s="1">
        <f t="shared" si="154"/>
        <v>0</v>
      </c>
      <c r="AH296" s="1">
        <f t="shared" si="155"/>
        <v>0</v>
      </c>
      <c r="AI296" s="23">
        <f t="shared" si="156"/>
        <v>0</v>
      </c>
      <c r="AJ296" s="23">
        <f t="shared" si="157"/>
        <v>0</v>
      </c>
      <c r="AK296" s="23">
        <f t="shared" si="158"/>
        <v>0</v>
      </c>
      <c r="AL296" s="23">
        <f t="shared" si="159"/>
        <v>0</v>
      </c>
      <c r="AM296" s="23">
        <f t="shared" si="160"/>
        <v>0</v>
      </c>
      <c r="AN296" s="23">
        <f t="shared" si="161"/>
        <v>0</v>
      </c>
      <c r="AQ296" s="32">
        <f t="shared" si="162"/>
        <v>42736</v>
      </c>
      <c r="AR296" s="32">
        <f t="shared" si="163"/>
        <v>42916</v>
      </c>
      <c r="AS296" s="52">
        <v>31</v>
      </c>
      <c r="AT296" s="1">
        <f t="shared" si="164"/>
        <v>0</v>
      </c>
      <c r="AU296" s="1">
        <f t="shared" si="165"/>
        <v>47</v>
      </c>
      <c r="AV296" s="1">
        <f t="shared" si="166"/>
        <v>0</v>
      </c>
      <c r="AW296" s="1">
        <f t="shared" si="167"/>
        <v>0</v>
      </c>
      <c r="AX296" s="1">
        <f t="shared" si="168"/>
        <v>0</v>
      </c>
      <c r="AY296" s="23">
        <f t="shared" si="169"/>
        <v>0.25966850828729282</v>
      </c>
      <c r="AZ296" s="23">
        <f t="shared" si="170"/>
        <v>0.29292364666227383</v>
      </c>
      <c r="BA296" s="23">
        <f t="shared" si="171"/>
        <v>9.0806330465304885</v>
      </c>
      <c r="BB296" s="23">
        <f t="shared" si="172"/>
        <v>22.70158261632622</v>
      </c>
      <c r="BC296" s="23">
        <f t="shared" si="173"/>
        <v>0</v>
      </c>
      <c r="BD296" s="23">
        <f t="shared" si="174"/>
        <v>22.70158261632622</v>
      </c>
    </row>
    <row r="297" spans="1:56">
      <c r="A297" s="1" t="s">
        <v>20</v>
      </c>
      <c r="B297" s="1" t="s">
        <v>32</v>
      </c>
      <c r="C297" s="1" t="s">
        <v>22</v>
      </c>
      <c r="D297" s="1" t="s">
        <v>33</v>
      </c>
      <c r="E297" s="51" t="s">
        <v>107</v>
      </c>
      <c r="F297" s="51" t="s">
        <v>108</v>
      </c>
      <c r="G297" s="51" t="s">
        <v>109</v>
      </c>
      <c r="H297" s="51" t="s">
        <v>127</v>
      </c>
      <c r="I297" s="1" t="s">
        <v>128</v>
      </c>
      <c r="J297" s="51" t="s">
        <v>112</v>
      </c>
      <c r="K297" s="51" t="s">
        <v>112</v>
      </c>
      <c r="L297" s="51" t="s">
        <v>112</v>
      </c>
      <c r="M297" s="1">
        <v>2167182</v>
      </c>
      <c r="N297" s="52" t="s">
        <v>591</v>
      </c>
      <c r="O297" s="55">
        <f t="shared" si="176"/>
        <v>42870</v>
      </c>
      <c r="P297" s="55">
        <f>DATE(2020,12,12)</f>
        <v>44177</v>
      </c>
      <c r="Q297" s="51">
        <v>3267</v>
      </c>
      <c r="S297" s="51">
        <v>2.5</v>
      </c>
      <c r="U297" s="1">
        <f t="shared" si="145"/>
        <v>1308</v>
      </c>
      <c r="V297" s="31">
        <f t="shared" si="146"/>
        <v>2.4977064220183487</v>
      </c>
      <c r="W297" s="31">
        <f t="shared" si="147"/>
        <v>911.66284403669727</v>
      </c>
      <c r="X297" s="31">
        <f t="shared" si="148"/>
        <v>1.1395785550458717</v>
      </c>
      <c r="AA297" s="32">
        <f t="shared" si="149"/>
        <v>42552</v>
      </c>
      <c r="AB297" s="32">
        <f t="shared" si="150"/>
        <v>42735</v>
      </c>
      <c r="AC297" s="49">
        <v>0</v>
      </c>
      <c r="AD297" s="1">
        <f t="shared" si="151"/>
        <v>0</v>
      </c>
      <c r="AE297" s="1">
        <f t="shared" si="152"/>
        <v>0</v>
      </c>
      <c r="AF297" s="1">
        <f t="shared" si="153"/>
        <v>0</v>
      </c>
      <c r="AG297" s="1">
        <f t="shared" si="154"/>
        <v>0</v>
      </c>
      <c r="AH297" s="1">
        <f t="shared" si="155"/>
        <v>0</v>
      </c>
      <c r="AI297" s="23">
        <f t="shared" si="156"/>
        <v>0</v>
      </c>
      <c r="AJ297" s="23">
        <f t="shared" si="157"/>
        <v>0</v>
      </c>
      <c r="AK297" s="23">
        <f t="shared" si="158"/>
        <v>0</v>
      </c>
      <c r="AL297" s="23">
        <f t="shared" si="159"/>
        <v>0</v>
      </c>
      <c r="AM297" s="23">
        <f t="shared" si="160"/>
        <v>0</v>
      </c>
      <c r="AN297" s="23">
        <f t="shared" si="161"/>
        <v>0</v>
      </c>
      <c r="AQ297" s="32">
        <f t="shared" si="162"/>
        <v>42736</v>
      </c>
      <c r="AR297" s="32">
        <f t="shared" si="163"/>
        <v>42916</v>
      </c>
      <c r="AS297" s="52">
        <v>30</v>
      </c>
      <c r="AT297" s="1">
        <f t="shared" si="164"/>
        <v>0</v>
      </c>
      <c r="AU297" s="1">
        <f t="shared" si="165"/>
        <v>47</v>
      </c>
      <c r="AV297" s="1">
        <f t="shared" si="166"/>
        <v>0</v>
      </c>
      <c r="AW297" s="1">
        <f t="shared" si="167"/>
        <v>0</v>
      </c>
      <c r="AX297" s="1">
        <f t="shared" si="168"/>
        <v>0</v>
      </c>
      <c r="AY297" s="23">
        <f t="shared" si="169"/>
        <v>0.25966850828729282</v>
      </c>
      <c r="AZ297" s="23">
        <f t="shared" si="170"/>
        <v>0.2959126634649501</v>
      </c>
      <c r="BA297" s="23">
        <f t="shared" si="171"/>
        <v>8.8773799039485031</v>
      </c>
      <c r="BB297" s="23">
        <f t="shared" si="172"/>
        <v>22.193449759871257</v>
      </c>
      <c r="BC297" s="23">
        <f t="shared" si="173"/>
        <v>0</v>
      </c>
      <c r="BD297" s="23">
        <f t="shared" si="174"/>
        <v>22.193449759871257</v>
      </c>
    </row>
    <row r="298" spans="1:56">
      <c r="A298" s="1" t="s">
        <v>20</v>
      </c>
      <c r="B298" s="1" t="s">
        <v>32</v>
      </c>
      <c r="C298" s="1" t="s">
        <v>22</v>
      </c>
      <c r="D298" s="1" t="s">
        <v>33</v>
      </c>
      <c r="E298" s="51" t="s">
        <v>107</v>
      </c>
      <c r="F298" s="51" t="s">
        <v>108</v>
      </c>
      <c r="G298" s="51" t="s">
        <v>109</v>
      </c>
      <c r="H298" s="51" t="s">
        <v>287</v>
      </c>
      <c r="I298" s="1" t="s">
        <v>111</v>
      </c>
      <c r="J298" s="51" t="s">
        <v>112</v>
      </c>
      <c r="K298" s="51" t="s">
        <v>112</v>
      </c>
      <c r="L298" s="51" t="s">
        <v>112</v>
      </c>
      <c r="M298" s="1">
        <v>2167187</v>
      </c>
      <c r="N298" s="52" t="s">
        <v>592</v>
      </c>
      <c r="O298" s="55">
        <f t="shared" si="176"/>
        <v>42870</v>
      </c>
      <c r="P298" s="55">
        <f>DATE(2020,12,12)</f>
        <v>44177</v>
      </c>
      <c r="Q298" s="51">
        <v>3450</v>
      </c>
      <c r="S298" s="51">
        <v>2.5</v>
      </c>
      <c r="U298" s="1">
        <f t="shared" si="145"/>
        <v>1308</v>
      </c>
      <c r="V298" s="31">
        <f t="shared" si="146"/>
        <v>2.6376146788990824</v>
      </c>
      <c r="W298" s="31">
        <f t="shared" si="147"/>
        <v>962.7293577981651</v>
      </c>
      <c r="X298" s="31">
        <f t="shared" si="148"/>
        <v>1.2034116972477065</v>
      </c>
      <c r="AA298" s="32">
        <f t="shared" si="149"/>
        <v>42552</v>
      </c>
      <c r="AB298" s="32">
        <f t="shared" si="150"/>
        <v>42735</v>
      </c>
      <c r="AC298" s="49">
        <v>0</v>
      </c>
      <c r="AD298" s="1">
        <f t="shared" si="151"/>
        <v>0</v>
      </c>
      <c r="AE298" s="1">
        <f t="shared" si="152"/>
        <v>0</v>
      </c>
      <c r="AF298" s="1">
        <f t="shared" si="153"/>
        <v>0</v>
      </c>
      <c r="AG298" s="1">
        <f t="shared" si="154"/>
        <v>0</v>
      </c>
      <c r="AH298" s="1">
        <f t="shared" si="155"/>
        <v>0</v>
      </c>
      <c r="AI298" s="23">
        <f t="shared" si="156"/>
        <v>0</v>
      </c>
      <c r="AJ298" s="23">
        <f t="shared" si="157"/>
        <v>0</v>
      </c>
      <c r="AK298" s="23">
        <f t="shared" si="158"/>
        <v>0</v>
      </c>
      <c r="AL298" s="23">
        <f t="shared" si="159"/>
        <v>0</v>
      </c>
      <c r="AM298" s="23">
        <f t="shared" si="160"/>
        <v>0</v>
      </c>
      <c r="AN298" s="23">
        <f t="shared" si="161"/>
        <v>0</v>
      </c>
      <c r="AQ298" s="32">
        <f t="shared" si="162"/>
        <v>42736</v>
      </c>
      <c r="AR298" s="32">
        <f t="shared" si="163"/>
        <v>42916</v>
      </c>
      <c r="AS298" s="52">
        <v>26</v>
      </c>
      <c r="AT298" s="1">
        <f t="shared" si="164"/>
        <v>0</v>
      </c>
      <c r="AU298" s="1">
        <f t="shared" si="165"/>
        <v>47</v>
      </c>
      <c r="AV298" s="1">
        <f t="shared" si="166"/>
        <v>0</v>
      </c>
      <c r="AW298" s="1">
        <f t="shared" si="167"/>
        <v>0</v>
      </c>
      <c r="AX298" s="1">
        <f t="shared" si="168"/>
        <v>0</v>
      </c>
      <c r="AY298" s="23">
        <f t="shared" si="169"/>
        <v>0.25966850828729282</v>
      </c>
      <c r="AZ298" s="23">
        <f t="shared" si="170"/>
        <v>0.31248812027979117</v>
      </c>
      <c r="BA298" s="23">
        <f t="shared" si="171"/>
        <v>8.1246911272745699</v>
      </c>
      <c r="BB298" s="23">
        <f t="shared" si="172"/>
        <v>20.311727818186426</v>
      </c>
      <c r="BC298" s="23">
        <f t="shared" si="173"/>
        <v>0</v>
      </c>
      <c r="BD298" s="23">
        <f t="shared" si="174"/>
        <v>20.311727818186426</v>
      </c>
    </row>
    <row r="299" spans="1:56">
      <c r="A299" s="1" t="s">
        <v>20</v>
      </c>
      <c r="B299" s="1" t="s">
        <v>32</v>
      </c>
      <c r="C299" s="1" t="s">
        <v>22</v>
      </c>
      <c r="D299" s="1" t="s">
        <v>33</v>
      </c>
      <c r="E299" s="51" t="s">
        <v>107</v>
      </c>
      <c r="F299" s="51" t="s">
        <v>108</v>
      </c>
      <c r="G299" s="51" t="s">
        <v>109</v>
      </c>
      <c r="H299" s="51" t="s">
        <v>285</v>
      </c>
      <c r="I299" s="1" t="s">
        <v>125</v>
      </c>
      <c r="J299" s="51" t="s">
        <v>112</v>
      </c>
      <c r="K299" s="51" t="s">
        <v>112</v>
      </c>
      <c r="L299" s="51" t="s">
        <v>112</v>
      </c>
      <c r="M299" s="1">
        <v>2167201</v>
      </c>
      <c r="N299" s="52" t="s">
        <v>593</v>
      </c>
      <c r="O299" s="55">
        <f t="shared" si="176"/>
        <v>42870</v>
      </c>
      <c r="P299" s="55">
        <f>DATE(2021,6,12)</f>
        <v>44359</v>
      </c>
      <c r="Q299" s="51">
        <v>3115</v>
      </c>
      <c r="S299" s="51">
        <v>2.5</v>
      </c>
      <c r="U299" s="1">
        <f t="shared" si="145"/>
        <v>1490</v>
      </c>
      <c r="V299" s="31">
        <f t="shared" si="146"/>
        <v>2.0906040268456376</v>
      </c>
      <c r="W299" s="31">
        <f t="shared" si="147"/>
        <v>763.07046979865777</v>
      </c>
      <c r="X299" s="31">
        <f t="shared" si="148"/>
        <v>0.9538380872483222</v>
      </c>
      <c r="AA299" s="32">
        <f t="shared" si="149"/>
        <v>42552</v>
      </c>
      <c r="AB299" s="32">
        <f t="shared" si="150"/>
        <v>42735</v>
      </c>
      <c r="AC299" s="49">
        <v>0</v>
      </c>
      <c r="AD299" s="1">
        <f t="shared" si="151"/>
        <v>0</v>
      </c>
      <c r="AE299" s="1">
        <f t="shared" si="152"/>
        <v>0</v>
      </c>
      <c r="AF299" s="1">
        <f t="shared" si="153"/>
        <v>0</v>
      </c>
      <c r="AG299" s="1">
        <f t="shared" si="154"/>
        <v>0</v>
      </c>
      <c r="AH299" s="1">
        <f t="shared" si="155"/>
        <v>0</v>
      </c>
      <c r="AI299" s="23">
        <f t="shared" si="156"/>
        <v>0</v>
      </c>
      <c r="AJ299" s="23">
        <f t="shared" si="157"/>
        <v>0</v>
      </c>
      <c r="AK299" s="23">
        <f t="shared" si="158"/>
        <v>0</v>
      </c>
      <c r="AL299" s="23">
        <f t="shared" si="159"/>
        <v>0</v>
      </c>
      <c r="AM299" s="23">
        <f t="shared" si="160"/>
        <v>0</v>
      </c>
      <c r="AN299" s="23">
        <f t="shared" si="161"/>
        <v>0</v>
      </c>
      <c r="AQ299" s="32">
        <f t="shared" si="162"/>
        <v>42736</v>
      </c>
      <c r="AR299" s="32">
        <f t="shared" si="163"/>
        <v>42916</v>
      </c>
      <c r="AS299" s="52">
        <v>30</v>
      </c>
      <c r="AT299" s="1">
        <f t="shared" si="164"/>
        <v>0</v>
      </c>
      <c r="AU299" s="1">
        <f t="shared" si="165"/>
        <v>47</v>
      </c>
      <c r="AV299" s="1">
        <f t="shared" si="166"/>
        <v>0</v>
      </c>
      <c r="AW299" s="1">
        <f t="shared" si="167"/>
        <v>0</v>
      </c>
      <c r="AX299" s="1">
        <f t="shared" si="168"/>
        <v>0</v>
      </c>
      <c r="AY299" s="23">
        <f t="shared" si="169"/>
        <v>0.25966850828729282</v>
      </c>
      <c r="AZ299" s="23">
        <f t="shared" si="170"/>
        <v>0.24768171326337649</v>
      </c>
      <c r="BA299" s="23">
        <f t="shared" si="171"/>
        <v>7.4304513979012947</v>
      </c>
      <c r="BB299" s="23">
        <f t="shared" si="172"/>
        <v>18.576128494753238</v>
      </c>
      <c r="BC299" s="23">
        <f t="shared" si="173"/>
        <v>0</v>
      </c>
      <c r="BD299" s="23">
        <f t="shared" si="174"/>
        <v>18.576128494753238</v>
      </c>
    </row>
    <row r="300" spans="1:56">
      <c r="A300" s="1" t="s">
        <v>20</v>
      </c>
      <c r="B300" s="1" t="s">
        <v>32</v>
      </c>
      <c r="C300" s="1" t="s">
        <v>22</v>
      </c>
      <c r="D300" s="1" t="s">
        <v>33</v>
      </c>
      <c r="E300" s="51" t="s">
        <v>107</v>
      </c>
      <c r="F300" s="51" t="s">
        <v>108</v>
      </c>
      <c r="G300" s="51" t="s">
        <v>109</v>
      </c>
      <c r="H300" s="51" t="s">
        <v>275</v>
      </c>
      <c r="I300" s="1" t="s">
        <v>128</v>
      </c>
      <c r="J300" s="51" t="s">
        <v>112</v>
      </c>
      <c r="K300" s="51" t="s">
        <v>112</v>
      </c>
      <c r="L300" s="51" t="s">
        <v>112</v>
      </c>
      <c r="M300" s="1">
        <v>2167208</v>
      </c>
      <c r="N300" s="52" t="s">
        <v>594</v>
      </c>
      <c r="O300" s="55">
        <f t="shared" si="176"/>
        <v>42870</v>
      </c>
      <c r="P300" s="55">
        <f>DATE(2020,6,12)</f>
        <v>43994</v>
      </c>
      <c r="Q300" s="51">
        <v>3270</v>
      </c>
      <c r="S300" s="51">
        <v>2.5</v>
      </c>
      <c r="U300" s="1">
        <f t="shared" si="145"/>
        <v>1125</v>
      </c>
      <c r="V300" s="31">
        <f t="shared" si="146"/>
        <v>2.9066666666666667</v>
      </c>
      <c r="W300" s="31">
        <f t="shared" si="147"/>
        <v>1060.9333333333334</v>
      </c>
      <c r="X300" s="31">
        <f t="shared" si="148"/>
        <v>1.3261666666666667</v>
      </c>
      <c r="AA300" s="32">
        <f t="shared" si="149"/>
        <v>42552</v>
      </c>
      <c r="AB300" s="32">
        <f t="shared" si="150"/>
        <v>42735</v>
      </c>
      <c r="AC300" s="49">
        <v>0</v>
      </c>
      <c r="AD300" s="1">
        <f t="shared" si="151"/>
        <v>0</v>
      </c>
      <c r="AE300" s="1">
        <f t="shared" si="152"/>
        <v>0</v>
      </c>
      <c r="AF300" s="1">
        <f t="shared" si="153"/>
        <v>0</v>
      </c>
      <c r="AG300" s="1">
        <f t="shared" si="154"/>
        <v>0</v>
      </c>
      <c r="AH300" s="1">
        <f t="shared" si="155"/>
        <v>0</v>
      </c>
      <c r="AI300" s="23">
        <f t="shared" si="156"/>
        <v>0</v>
      </c>
      <c r="AJ300" s="23">
        <f t="shared" si="157"/>
        <v>0</v>
      </c>
      <c r="AK300" s="23">
        <f t="shared" si="158"/>
        <v>0</v>
      </c>
      <c r="AL300" s="23">
        <f t="shared" si="159"/>
        <v>0</v>
      </c>
      <c r="AM300" s="23">
        <f t="shared" si="160"/>
        <v>0</v>
      </c>
      <c r="AN300" s="23">
        <f t="shared" si="161"/>
        <v>0</v>
      </c>
      <c r="AQ300" s="32">
        <f t="shared" si="162"/>
        <v>42736</v>
      </c>
      <c r="AR300" s="32">
        <f t="shared" si="163"/>
        <v>42916</v>
      </c>
      <c r="AS300" s="52">
        <v>29</v>
      </c>
      <c r="AT300" s="1">
        <f t="shared" si="164"/>
        <v>0</v>
      </c>
      <c r="AU300" s="1">
        <f t="shared" si="165"/>
        <v>47</v>
      </c>
      <c r="AV300" s="1">
        <f t="shared" si="166"/>
        <v>0</v>
      </c>
      <c r="AW300" s="1">
        <f t="shared" si="167"/>
        <v>0</v>
      </c>
      <c r="AX300" s="1">
        <f t="shared" si="168"/>
        <v>0</v>
      </c>
      <c r="AY300" s="23">
        <f t="shared" si="169"/>
        <v>0.25966850828729282</v>
      </c>
      <c r="AZ300" s="23">
        <f t="shared" si="170"/>
        <v>0.34436372007366484</v>
      </c>
      <c r="BA300" s="23">
        <f t="shared" si="171"/>
        <v>9.9865478821362803</v>
      </c>
      <c r="BB300" s="23">
        <f t="shared" si="172"/>
        <v>24.9663697053407</v>
      </c>
      <c r="BC300" s="23">
        <f t="shared" si="173"/>
        <v>0</v>
      </c>
      <c r="BD300" s="23">
        <f t="shared" si="174"/>
        <v>24.9663697053407</v>
      </c>
    </row>
    <row r="301" spans="1:56">
      <c r="A301" s="1" t="s">
        <v>20</v>
      </c>
      <c r="B301" s="1" t="s">
        <v>32</v>
      </c>
      <c r="C301" s="1" t="s">
        <v>22</v>
      </c>
      <c r="D301" s="1" t="s">
        <v>33</v>
      </c>
      <c r="E301" s="51" t="s">
        <v>107</v>
      </c>
      <c r="F301" s="51" t="s">
        <v>108</v>
      </c>
      <c r="G301" s="51" t="s">
        <v>109</v>
      </c>
      <c r="H301" s="51" t="s">
        <v>213</v>
      </c>
      <c r="I301" s="1" t="s">
        <v>214</v>
      </c>
      <c r="J301" s="51" t="s">
        <v>112</v>
      </c>
      <c r="K301" s="51" t="s">
        <v>112</v>
      </c>
      <c r="L301" s="51" t="s">
        <v>112</v>
      </c>
      <c r="M301" s="1">
        <v>2167221</v>
      </c>
      <c r="N301" s="52" t="s">
        <v>595</v>
      </c>
      <c r="O301" s="55">
        <f t="shared" si="176"/>
        <v>42870</v>
      </c>
      <c r="P301" s="55">
        <f>DATE(2020,12,12)</f>
        <v>44177</v>
      </c>
      <c r="Q301" s="51">
        <v>3446</v>
      </c>
      <c r="S301" s="51">
        <v>1.5</v>
      </c>
      <c r="U301" s="1">
        <f t="shared" si="145"/>
        <v>1308</v>
      </c>
      <c r="V301" s="31">
        <f t="shared" si="146"/>
        <v>2.6345565749235473</v>
      </c>
      <c r="W301" s="31">
        <f t="shared" si="147"/>
        <v>961.61314984709475</v>
      </c>
      <c r="X301" s="31">
        <f t="shared" si="148"/>
        <v>1.2020164373088684</v>
      </c>
      <c r="AA301" s="32">
        <f t="shared" si="149"/>
        <v>42552</v>
      </c>
      <c r="AB301" s="32">
        <f t="shared" si="150"/>
        <v>42735</v>
      </c>
      <c r="AC301" s="49">
        <v>0</v>
      </c>
      <c r="AD301" s="1">
        <f t="shared" si="151"/>
        <v>0</v>
      </c>
      <c r="AE301" s="1">
        <f t="shared" si="152"/>
        <v>0</v>
      </c>
      <c r="AF301" s="1">
        <f t="shared" si="153"/>
        <v>0</v>
      </c>
      <c r="AG301" s="1">
        <f t="shared" si="154"/>
        <v>0</v>
      </c>
      <c r="AH301" s="1">
        <f t="shared" si="155"/>
        <v>0</v>
      </c>
      <c r="AI301" s="23">
        <f t="shared" si="156"/>
        <v>0</v>
      </c>
      <c r="AJ301" s="23">
        <f t="shared" si="157"/>
        <v>0</v>
      </c>
      <c r="AK301" s="23">
        <f t="shared" si="158"/>
        <v>0</v>
      </c>
      <c r="AL301" s="23">
        <f t="shared" si="159"/>
        <v>0</v>
      </c>
      <c r="AM301" s="23">
        <f t="shared" si="160"/>
        <v>0</v>
      </c>
      <c r="AN301" s="23">
        <f t="shared" si="161"/>
        <v>0</v>
      </c>
      <c r="AQ301" s="32">
        <f t="shared" si="162"/>
        <v>42736</v>
      </c>
      <c r="AR301" s="32">
        <f t="shared" si="163"/>
        <v>42916</v>
      </c>
      <c r="AS301" s="52">
        <v>29</v>
      </c>
      <c r="AT301" s="1">
        <f t="shared" si="164"/>
        <v>0</v>
      </c>
      <c r="AU301" s="1">
        <f t="shared" si="165"/>
        <v>47</v>
      </c>
      <c r="AV301" s="1">
        <f t="shared" si="166"/>
        <v>0</v>
      </c>
      <c r="AW301" s="1">
        <f t="shared" si="167"/>
        <v>0</v>
      </c>
      <c r="AX301" s="1">
        <f t="shared" si="168"/>
        <v>0</v>
      </c>
      <c r="AY301" s="23">
        <f t="shared" si="169"/>
        <v>0.25966850828729282</v>
      </c>
      <c r="AZ301" s="23">
        <f t="shared" si="170"/>
        <v>0.31212581521280008</v>
      </c>
      <c r="BA301" s="23">
        <f t="shared" si="171"/>
        <v>9.0516486411712016</v>
      </c>
      <c r="BB301" s="23">
        <f t="shared" si="172"/>
        <v>13.577472961756802</v>
      </c>
      <c r="BC301" s="23">
        <f t="shared" si="173"/>
        <v>0</v>
      </c>
      <c r="BD301" s="23">
        <f t="shared" si="174"/>
        <v>13.577472961756802</v>
      </c>
    </row>
    <row r="302" spans="1:56">
      <c r="A302" s="1" t="s">
        <v>20</v>
      </c>
      <c r="B302" s="1" t="s">
        <v>32</v>
      </c>
      <c r="C302" s="1" t="s">
        <v>22</v>
      </c>
      <c r="D302" s="1" t="s">
        <v>33</v>
      </c>
      <c r="E302" s="51" t="s">
        <v>107</v>
      </c>
      <c r="F302" s="51" t="s">
        <v>108</v>
      </c>
      <c r="G302" s="51" t="s">
        <v>109</v>
      </c>
      <c r="H302" s="51" t="s">
        <v>273</v>
      </c>
      <c r="I302" s="1" t="s">
        <v>128</v>
      </c>
      <c r="J302" s="51" t="s">
        <v>112</v>
      </c>
      <c r="K302" s="51" t="s">
        <v>112</v>
      </c>
      <c r="L302" s="51" t="s">
        <v>112</v>
      </c>
      <c r="M302" s="1">
        <v>2167228</v>
      </c>
      <c r="N302" s="52" t="s">
        <v>596</v>
      </c>
      <c r="O302" s="55">
        <f t="shared" si="176"/>
        <v>42870</v>
      </c>
      <c r="P302" s="55">
        <f>DATE(2020,12,12)</f>
        <v>44177</v>
      </c>
      <c r="Q302" s="51">
        <v>3180</v>
      </c>
      <c r="S302" s="51">
        <v>2.5</v>
      </c>
      <c r="U302" s="1">
        <f t="shared" si="145"/>
        <v>1308</v>
      </c>
      <c r="V302" s="31">
        <f t="shared" si="146"/>
        <v>2.4311926605504586</v>
      </c>
      <c r="W302" s="31">
        <f t="shared" si="147"/>
        <v>887.38532110091739</v>
      </c>
      <c r="X302" s="31">
        <f t="shared" si="148"/>
        <v>1.1092316513761467</v>
      </c>
      <c r="AA302" s="32">
        <f t="shared" si="149"/>
        <v>42552</v>
      </c>
      <c r="AB302" s="32">
        <f t="shared" si="150"/>
        <v>42735</v>
      </c>
      <c r="AC302" s="49">
        <v>0</v>
      </c>
      <c r="AD302" s="1">
        <f t="shared" si="151"/>
        <v>0</v>
      </c>
      <c r="AE302" s="1">
        <f t="shared" si="152"/>
        <v>0</v>
      </c>
      <c r="AF302" s="1">
        <f t="shared" si="153"/>
        <v>0</v>
      </c>
      <c r="AG302" s="1">
        <f t="shared" si="154"/>
        <v>0</v>
      </c>
      <c r="AH302" s="1">
        <f t="shared" si="155"/>
        <v>0</v>
      </c>
      <c r="AI302" s="23">
        <f t="shared" si="156"/>
        <v>0</v>
      </c>
      <c r="AJ302" s="23">
        <f t="shared" si="157"/>
        <v>0</v>
      </c>
      <c r="AK302" s="23">
        <f t="shared" si="158"/>
        <v>0</v>
      </c>
      <c r="AL302" s="23">
        <f t="shared" si="159"/>
        <v>0</v>
      </c>
      <c r="AM302" s="23">
        <f t="shared" si="160"/>
        <v>0</v>
      </c>
      <c r="AN302" s="23">
        <f t="shared" si="161"/>
        <v>0</v>
      </c>
      <c r="AQ302" s="32">
        <f t="shared" si="162"/>
        <v>42736</v>
      </c>
      <c r="AR302" s="32">
        <f t="shared" si="163"/>
        <v>42916</v>
      </c>
      <c r="AS302" s="52">
        <v>29</v>
      </c>
      <c r="AT302" s="1">
        <f t="shared" si="164"/>
        <v>0</v>
      </c>
      <c r="AU302" s="1">
        <f t="shared" si="165"/>
        <v>47</v>
      </c>
      <c r="AV302" s="1">
        <f t="shared" si="166"/>
        <v>0</v>
      </c>
      <c r="AW302" s="1">
        <f t="shared" si="167"/>
        <v>0</v>
      </c>
      <c r="AX302" s="1">
        <f t="shared" si="168"/>
        <v>0</v>
      </c>
      <c r="AY302" s="23">
        <f t="shared" si="169"/>
        <v>0.25966850828729282</v>
      </c>
      <c r="AZ302" s="23">
        <f t="shared" si="170"/>
        <v>0.28803252825789444</v>
      </c>
      <c r="BA302" s="23">
        <f t="shared" si="171"/>
        <v>8.3529433194789391</v>
      </c>
      <c r="BB302" s="23">
        <f t="shared" si="172"/>
        <v>20.882358298697348</v>
      </c>
      <c r="BC302" s="23">
        <f t="shared" si="173"/>
        <v>0</v>
      </c>
      <c r="BD302" s="23">
        <f t="shared" si="174"/>
        <v>20.882358298697348</v>
      </c>
    </row>
    <row r="303" spans="1:56">
      <c r="A303" s="1" t="s">
        <v>20</v>
      </c>
      <c r="B303" s="1" t="s">
        <v>32</v>
      </c>
      <c r="C303" s="1" t="s">
        <v>22</v>
      </c>
      <c r="D303" s="1" t="s">
        <v>33</v>
      </c>
      <c r="E303" s="51" t="s">
        <v>107</v>
      </c>
      <c r="F303" s="51" t="s">
        <v>108</v>
      </c>
      <c r="G303" s="51" t="s">
        <v>109</v>
      </c>
      <c r="H303" s="51" t="s">
        <v>283</v>
      </c>
      <c r="I303" s="1" t="s">
        <v>128</v>
      </c>
      <c r="J303" s="51" t="s">
        <v>112</v>
      </c>
      <c r="K303" s="51" t="s">
        <v>112</v>
      </c>
      <c r="L303" s="51" t="s">
        <v>112</v>
      </c>
      <c r="M303" s="1">
        <v>2167231</v>
      </c>
      <c r="N303" s="52" t="s">
        <v>597</v>
      </c>
      <c r="O303" s="55">
        <f t="shared" si="176"/>
        <v>42870</v>
      </c>
      <c r="P303" s="55">
        <f>DATE(2020,12,12)</f>
        <v>44177</v>
      </c>
      <c r="Q303" s="51">
        <v>3462</v>
      </c>
      <c r="S303" s="51">
        <v>2.5</v>
      </c>
      <c r="U303" s="1">
        <f t="shared" si="145"/>
        <v>1308</v>
      </c>
      <c r="V303" s="31">
        <f t="shared" si="146"/>
        <v>2.6467889908256881</v>
      </c>
      <c r="W303" s="31">
        <f t="shared" si="147"/>
        <v>966.07798165137615</v>
      </c>
      <c r="X303" s="31">
        <f t="shared" si="148"/>
        <v>1.2075974770642202</v>
      </c>
      <c r="AA303" s="32">
        <f t="shared" si="149"/>
        <v>42552</v>
      </c>
      <c r="AB303" s="32">
        <f t="shared" si="150"/>
        <v>42735</v>
      </c>
      <c r="AC303" s="49">
        <v>0</v>
      </c>
      <c r="AD303" s="1">
        <f t="shared" si="151"/>
        <v>0</v>
      </c>
      <c r="AE303" s="1">
        <f t="shared" si="152"/>
        <v>0</v>
      </c>
      <c r="AF303" s="1">
        <f t="shared" si="153"/>
        <v>0</v>
      </c>
      <c r="AG303" s="1">
        <f t="shared" si="154"/>
        <v>0</v>
      </c>
      <c r="AH303" s="1">
        <f t="shared" si="155"/>
        <v>0</v>
      </c>
      <c r="AI303" s="23">
        <f t="shared" si="156"/>
        <v>0</v>
      </c>
      <c r="AJ303" s="23">
        <f t="shared" si="157"/>
        <v>0</v>
      </c>
      <c r="AK303" s="23">
        <f t="shared" si="158"/>
        <v>0</v>
      </c>
      <c r="AL303" s="23">
        <f t="shared" si="159"/>
        <v>0</v>
      </c>
      <c r="AM303" s="23">
        <f t="shared" si="160"/>
        <v>0</v>
      </c>
      <c r="AN303" s="23">
        <f t="shared" si="161"/>
        <v>0</v>
      </c>
      <c r="AQ303" s="32">
        <f t="shared" si="162"/>
        <v>42736</v>
      </c>
      <c r="AR303" s="32">
        <f t="shared" si="163"/>
        <v>42916</v>
      </c>
      <c r="AS303" s="52">
        <v>27</v>
      </c>
      <c r="AT303" s="1">
        <f t="shared" si="164"/>
        <v>0</v>
      </c>
      <c r="AU303" s="1">
        <f t="shared" si="165"/>
        <v>47</v>
      </c>
      <c r="AV303" s="1">
        <f t="shared" si="166"/>
        <v>0</v>
      </c>
      <c r="AW303" s="1">
        <f t="shared" si="167"/>
        <v>0</v>
      </c>
      <c r="AX303" s="1">
        <f t="shared" si="168"/>
        <v>0</v>
      </c>
      <c r="AY303" s="23">
        <f t="shared" si="169"/>
        <v>0.25966850828729282</v>
      </c>
      <c r="AZ303" s="23">
        <f t="shared" si="170"/>
        <v>0.31357503548076437</v>
      </c>
      <c r="BA303" s="23">
        <f t="shared" si="171"/>
        <v>8.4665259579806378</v>
      </c>
      <c r="BB303" s="23">
        <f t="shared" si="172"/>
        <v>21.166314894951594</v>
      </c>
      <c r="BC303" s="23">
        <f t="shared" si="173"/>
        <v>0</v>
      </c>
      <c r="BD303" s="23">
        <f t="shared" si="174"/>
        <v>21.166314894951594</v>
      </c>
    </row>
    <row r="304" spans="1:56">
      <c r="A304" s="1" t="s">
        <v>20</v>
      </c>
      <c r="B304" s="1" t="s">
        <v>32</v>
      </c>
      <c r="C304" s="1" t="s">
        <v>22</v>
      </c>
      <c r="D304" s="1" t="s">
        <v>33</v>
      </c>
      <c r="E304" s="51" t="s">
        <v>107</v>
      </c>
      <c r="F304" s="51" t="s">
        <v>108</v>
      </c>
      <c r="G304" s="51" t="s">
        <v>109</v>
      </c>
      <c r="H304" s="51" t="s">
        <v>156</v>
      </c>
      <c r="I304" s="1" t="s">
        <v>128</v>
      </c>
      <c r="J304" s="51" t="s">
        <v>112</v>
      </c>
      <c r="K304" s="51" t="s">
        <v>112</v>
      </c>
      <c r="L304" s="51" t="s">
        <v>112</v>
      </c>
      <c r="M304" s="1">
        <v>2167261</v>
      </c>
      <c r="N304" s="52" t="s">
        <v>598</v>
      </c>
      <c r="O304" s="55">
        <f t="shared" si="176"/>
        <v>42870</v>
      </c>
      <c r="P304" s="55">
        <f>DATE(2019,12,12)</f>
        <v>43811</v>
      </c>
      <c r="Q304" s="51">
        <v>1500</v>
      </c>
      <c r="S304" s="51">
        <v>2.5</v>
      </c>
      <c r="U304" s="1">
        <f t="shared" si="145"/>
        <v>942</v>
      </c>
      <c r="V304" s="31">
        <f t="shared" si="146"/>
        <v>1.5923566878980893</v>
      </c>
      <c r="W304" s="31">
        <f t="shared" si="147"/>
        <v>581.21019108280257</v>
      </c>
      <c r="X304" s="31">
        <f t="shared" si="148"/>
        <v>0.7265127388535032</v>
      </c>
      <c r="AA304" s="32">
        <f t="shared" si="149"/>
        <v>42552</v>
      </c>
      <c r="AB304" s="32">
        <f t="shared" si="150"/>
        <v>42735</v>
      </c>
      <c r="AC304" s="49">
        <v>0</v>
      </c>
      <c r="AD304" s="1">
        <f t="shared" si="151"/>
        <v>0</v>
      </c>
      <c r="AE304" s="1">
        <f t="shared" si="152"/>
        <v>0</v>
      </c>
      <c r="AF304" s="1">
        <f t="shared" si="153"/>
        <v>0</v>
      </c>
      <c r="AG304" s="1">
        <f t="shared" si="154"/>
        <v>0</v>
      </c>
      <c r="AH304" s="1">
        <f t="shared" si="155"/>
        <v>0</v>
      </c>
      <c r="AI304" s="23">
        <f t="shared" si="156"/>
        <v>0</v>
      </c>
      <c r="AJ304" s="23">
        <f t="shared" si="157"/>
        <v>0</v>
      </c>
      <c r="AK304" s="23">
        <f t="shared" si="158"/>
        <v>0</v>
      </c>
      <c r="AL304" s="23">
        <f t="shared" si="159"/>
        <v>0</v>
      </c>
      <c r="AM304" s="23">
        <f t="shared" si="160"/>
        <v>0</v>
      </c>
      <c r="AN304" s="23">
        <f t="shared" si="161"/>
        <v>0</v>
      </c>
      <c r="AQ304" s="32">
        <f t="shared" si="162"/>
        <v>42736</v>
      </c>
      <c r="AR304" s="32">
        <f t="shared" si="163"/>
        <v>42916</v>
      </c>
      <c r="AS304" s="52">
        <v>1</v>
      </c>
      <c r="AT304" s="1">
        <f t="shared" si="164"/>
        <v>0</v>
      </c>
      <c r="AU304" s="1">
        <f t="shared" si="165"/>
        <v>47</v>
      </c>
      <c r="AV304" s="1">
        <f t="shared" si="166"/>
        <v>0</v>
      </c>
      <c r="AW304" s="1">
        <f t="shared" si="167"/>
        <v>0</v>
      </c>
      <c r="AX304" s="1">
        <f t="shared" si="168"/>
        <v>0</v>
      </c>
      <c r="AY304" s="23">
        <f t="shared" si="169"/>
        <v>0.25966850828729282</v>
      </c>
      <c r="AZ304" s="23">
        <f t="shared" si="170"/>
        <v>0.18865247914980471</v>
      </c>
      <c r="BA304" s="23">
        <f t="shared" si="171"/>
        <v>0.18865247914980471</v>
      </c>
      <c r="BB304" s="23">
        <f t="shared" si="172"/>
        <v>0.4716311978745118</v>
      </c>
      <c r="BC304" s="23">
        <f t="shared" si="173"/>
        <v>0</v>
      </c>
      <c r="BD304" s="23">
        <f t="shared" si="174"/>
        <v>0.4716311978745118</v>
      </c>
    </row>
    <row r="305" spans="1:56">
      <c r="A305" s="1" t="s">
        <v>20</v>
      </c>
      <c r="B305" s="1" t="s">
        <v>32</v>
      </c>
      <c r="C305" s="1" t="s">
        <v>22</v>
      </c>
      <c r="D305" s="1" t="s">
        <v>33</v>
      </c>
      <c r="E305" s="51" t="s">
        <v>107</v>
      </c>
      <c r="F305" s="51" t="s">
        <v>108</v>
      </c>
      <c r="G305" s="51" t="s">
        <v>109</v>
      </c>
      <c r="H305" s="51" t="s">
        <v>351</v>
      </c>
      <c r="I305" s="1" t="s">
        <v>125</v>
      </c>
      <c r="J305" s="51" t="s">
        <v>112</v>
      </c>
      <c r="K305" s="51" t="s">
        <v>112</v>
      </c>
      <c r="L305" s="51" t="s">
        <v>112</v>
      </c>
      <c r="M305" s="1">
        <v>2167263</v>
      </c>
      <c r="N305" s="52" t="s">
        <v>599</v>
      </c>
      <c r="O305" s="55">
        <f t="shared" si="176"/>
        <v>42870</v>
      </c>
      <c r="P305" s="55">
        <f>DATE(2019,6,12)</f>
        <v>43628</v>
      </c>
      <c r="Q305" s="51">
        <v>1360</v>
      </c>
      <c r="S305" s="51">
        <v>2</v>
      </c>
      <c r="U305" s="1">
        <f t="shared" si="145"/>
        <v>759</v>
      </c>
      <c r="V305" s="31">
        <f t="shared" si="146"/>
        <v>1.7918313570487483</v>
      </c>
      <c r="W305" s="31">
        <f t="shared" si="147"/>
        <v>654.01844532279313</v>
      </c>
      <c r="X305" s="31">
        <f t="shared" si="148"/>
        <v>0.81752305665349145</v>
      </c>
      <c r="AA305" s="32">
        <f t="shared" si="149"/>
        <v>42552</v>
      </c>
      <c r="AB305" s="32">
        <f t="shared" si="150"/>
        <v>42735</v>
      </c>
      <c r="AC305" s="49">
        <v>0</v>
      </c>
      <c r="AD305" s="1">
        <f t="shared" si="151"/>
        <v>0</v>
      </c>
      <c r="AE305" s="1">
        <f t="shared" si="152"/>
        <v>0</v>
      </c>
      <c r="AF305" s="1">
        <f t="shared" si="153"/>
        <v>0</v>
      </c>
      <c r="AG305" s="1">
        <f t="shared" si="154"/>
        <v>0</v>
      </c>
      <c r="AH305" s="1">
        <f t="shared" si="155"/>
        <v>0</v>
      </c>
      <c r="AI305" s="23">
        <f t="shared" si="156"/>
        <v>0</v>
      </c>
      <c r="AJ305" s="23">
        <f t="shared" si="157"/>
        <v>0</v>
      </c>
      <c r="AK305" s="23">
        <f t="shared" si="158"/>
        <v>0</v>
      </c>
      <c r="AL305" s="23">
        <f t="shared" si="159"/>
        <v>0</v>
      </c>
      <c r="AM305" s="23">
        <f t="shared" si="160"/>
        <v>0</v>
      </c>
      <c r="AN305" s="23">
        <f t="shared" si="161"/>
        <v>0</v>
      </c>
      <c r="AQ305" s="32">
        <f t="shared" si="162"/>
        <v>42736</v>
      </c>
      <c r="AR305" s="32">
        <f t="shared" si="163"/>
        <v>42916</v>
      </c>
      <c r="AS305" s="52">
        <v>19</v>
      </c>
      <c r="AT305" s="1">
        <f t="shared" si="164"/>
        <v>0</v>
      </c>
      <c r="AU305" s="1">
        <f t="shared" si="165"/>
        <v>47</v>
      </c>
      <c r="AV305" s="1">
        <f t="shared" si="166"/>
        <v>0</v>
      </c>
      <c r="AW305" s="1">
        <f t="shared" si="167"/>
        <v>0</v>
      </c>
      <c r="AX305" s="1">
        <f t="shared" si="168"/>
        <v>0</v>
      </c>
      <c r="AY305" s="23">
        <f t="shared" si="169"/>
        <v>0.25966850828729282</v>
      </c>
      <c r="AZ305" s="23">
        <f t="shared" si="170"/>
        <v>0.2122849926116801</v>
      </c>
      <c r="BA305" s="23">
        <f t="shared" si="171"/>
        <v>4.0334148596219217</v>
      </c>
      <c r="BB305" s="23">
        <f t="shared" si="172"/>
        <v>8.0668297192438434</v>
      </c>
      <c r="BC305" s="23">
        <f t="shared" si="173"/>
        <v>0</v>
      </c>
      <c r="BD305" s="23">
        <f t="shared" si="174"/>
        <v>8.0668297192438434</v>
      </c>
    </row>
    <row r="306" spans="1:56">
      <c r="A306" s="1" t="s">
        <v>20</v>
      </c>
      <c r="B306" s="1" t="s">
        <v>32</v>
      </c>
      <c r="C306" s="1" t="s">
        <v>22</v>
      </c>
      <c r="D306" s="1" t="s">
        <v>33</v>
      </c>
      <c r="E306" s="51" t="s">
        <v>107</v>
      </c>
      <c r="F306" s="51" t="s">
        <v>108</v>
      </c>
      <c r="G306" s="51" t="s">
        <v>109</v>
      </c>
      <c r="H306" s="51" t="s">
        <v>290</v>
      </c>
      <c r="I306" s="1" t="s">
        <v>125</v>
      </c>
      <c r="J306" s="51" t="s">
        <v>112</v>
      </c>
      <c r="K306" s="51" t="s">
        <v>112</v>
      </c>
      <c r="L306" s="51" t="s">
        <v>112</v>
      </c>
      <c r="M306" s="1">
        <v>2167265</v>
      </c>
      <c r="N306" s="52" t="s">
        <v>600</v>
      </c>
      <c r="O306" s="55">
        <f t="shared" si="176"/>
        <v>42870</v>
      </c>
      <c r="P306" s="55">
        <f t="shared" ref="P306:P317" si="177">DATE(2019,12,12)</f>
        <v>43811</v>
      </c>
      <c r="Q306" s="51">
        <v>1476</v>
      </c>
      <c r="S306" s="51">
        <v>2.5</v>
      </c>
      <c r="U306" s="1">
        <f t="shared" si="145"/>
        <v>942</v>
      </c>
      <c r="V306" s="31">
        <f t="shared" si="146"/>
        <v>1.5668789808917198</v>
      </c>
      <c r="W306" s="31">
        <f t="shared" si="147"/>
        <v>571.91082802547771</v>
      </c>
      <c r="X306" s="31">
        <f t="shared" si="148"/>
        <v>0.71488853503184713</v>
      </c>
      <c r="AA306" s="32">
        <f t="shared" si="149"/>
        <v>42552</v>
      </c>
      <c r="AB306" s="32">
        <f t="shared" si="150"/>
        <v>42735</v>
      </c>
      <c r="AC306" s="49">
        <v>0</v>
      </c>
      <c r="AD306" s="1">
        <f t="shared" si="151"/>
        <v>0</v>
      </c>
      <c r="AE306" s="1">
        <f t="shared" si="152"/>
        <v>0</v>
      </c>
      <c r="AF306" s="1">
        <f t="shared" si="153"/>
        <v>0</v>
      </c>
      <c r="AG306" s="1">
        <f t="shared" si="154"/>
        <v>0</v>
      </c>
      <c r="AH306" s="1">
        <f t="shared" si="155"/>
        <v>0</v>
      </c>
      <c r="AI306" s="23">
        <f t="shared" si="156"/>
        <v>0</v>
      </c>
      <c r="AJ306" s="23">
        <f t="shared" si="157"/>
        <v>0</v>
      </c>
      <c r="AK306" s="23">
        <f t="shared" si="158"/>
        <v>0</v>
      </c>
      <c r="AL306" s="23">
        <f t="shared" si="159"/>
        <v>0</v>
      </c>
      <c r="AM306" s="23">
        <f t="shared" si="160"/>
        <v>0</v>
      </c>
      <c r="AN306" s="23">
        <f t="shared" si="161"/>
        <v>0</v>
      </c>
      <c r="AQ306" s="32">
        <f t="shared" si="162"/>
        <v>42736</v>
      </c>
      <c r="AR306" s="32">
        <f t="shared" si="163"/>
        <v>42916</v>
      </c>
      <c r="AS306" s="52">
        <v>6</v>
      </c>
      <c r="AT306" s="1">
        <f t="shared" si="164"/>
        <v>0</v>
      </c>
      <c r="AU306" s="1">
        <f t="shared" si="165"/>
        <v>47</v>
      </c>
      <c r="AV306" s="1">
        <f t="shared" si="166"/>
        <v>0</v>
      </c>
      <c r="AW306" s="1">
        <f t="shared" si="167"/>
        <v>0</v>
      </c>
      <c r="AX306" s="1">
        <f t="shared" si="168"/>
        <v>0</v>
      </c>
      <c r="AY306" s="23">
        <f t="shared" si="169"/>
        <v>0.25966850828729282</v>
      </c>
      <c r="AZ306" s="23">
        <f t="shared" si="170"/>
        <v>0.18563403948340781</v>
      </c>
      <c r="BA306" s="23">
        <f t="shared" si="171"/>
        <v>1.1138042369004468</v>
      </c>
      <c r="BB306" s="23">
        <f t="shared" si="172"/>
        <v>2.7845105922511171</v>
      </c>
      <c r="BC306" s="23">
        <f t="shared" si="173"/>
        <v>0</v>
      </c>
      <c r="BD306" s="23">
        <f t="shared" si="174"/>
        <v>2.7845105922511171</v>
      </c>
    </row>
    <row r="307" spans="1:56">
      <c r="A307" s="1" t="s">
        <v>20</v>
      </c>
      <c r="B307" s="1" t="s">
        <v>32</v>
      </c>
      <c r="C307" s="1" t="s">
        <v>22</v>
      </c>
      <c r="D307" s="1" t="s">
        <v>33</v>
      </c>
      <c r="E307" s="51" t="s">
        <v>107</v>
      </c>
      <c r="F307" s="51" t="s">
        <v>108</v>
      </c>
      <c r="G307" s="51" t="s">
        <v>109</v>
      </c>
      <c r="H307" s="51" t="s">
        <v>281</v>
      </c>
      <c r="I307" s="1" t="s">
        <v>147</v>
      </c>
      <c r="J307" s="51" t="s">
        <v>112</v>
      </c>
      <c r="K307" s="51" t="s">
        <v>112</v>
      </c>
      <c r="L307" s="51" t="s">
        <v>112</v>
      </c>
      <c r="M307" s="1">
        <v>2167268</v>
      </c>
      <c r="N307" s="52" t="s">
        <v>601</v>
      </c>
      <c r="O307" s="55">
        <f t="shared" si="176"/>
        <v>42870</v>
      </c>
      <c r="P307" s="55">
        <f t="shared" si="177"/>
        <v>43811</v>
      </c>
      <c r="Q307" s="51">
        <v>1740</v>
      </c>
      <c r="S307" s="51">
        <v>2</v>
      </c>
      <c r="U307" s="1">
        <f t="shared" si="145"/>
        <v>942</v>
      </c>
      <c r="V307" s="31">
        <f t="shared" si="146"/>
        <v>1.8471337579617835</v>
      </c>
      <c r="W307" s="31">
        <f t="shared" si="147"/>
        <v>674.20382165605099</v>
      </c>
      <c r="X307" s="31">
        <f t="shared" si="148"/>
        <v>0.84275477707006374</v>
      </c>
      <c r="AA307" s="32">
        <f t="shared" si="149"/>
        <v>42552</v>
      </c>
      <c r="AB307" s="32">
        <f t="shared" si="150"/>
        <v>42735</v>
      </c>
      <c r="AC307" s="49">
        <v>0</v>
      </c>
      <c r="AD307" s="1">
        <f t="shared" si="151"/>
        <v>0</v>
      </c>
      <c r="AE307" s="1">
        <f t="shared" si="152"/>
        <v>0</v>
      </c>
      <c r="AF307" s="1">
        <f t="shared" si="153"/>
        <v>0</v>
      </c>
      <c r="AG307" s="1">
        <f t="shared" si="154"/>
        <v>0</v>
      </c>
      <c r="AH307" s="1">
        <f t="shared" si="155"/>
        <v>0</v>
      </c>
      <c r="AI307" s="23">
        <f t="shared" si="156"/>
        <v>0</v>
      </c>
      <c r="AJ307" s="23">
        <f t="shared" si="157"/>
        <v>0</v>
      </c>
      <c r="AK307" s="23">
        <f t="shared" si="158"/>
        <v>0</v>
      </c>
      <c r="AL307" s="23">
        <f t="shared" si="159"/>
        <v>0</v>
      </c>
      <c r="AM307" s="23">
        <f t="shared" si="160"/>
        <v>0</v>
      </c>
      <c r="AN307" s="23">
        <f t="shared" si="161"/>
        <v>0</v>
      </c>
      <c r="AQ307" s="32">
        <f t="shared" si="162"/>
        <v>42736</v>
      </c>
      <c r="AR307" s="32">
        <f t="shared" si="163"/>
        <v>42916</v>
      </c>
      <c r="AS307" s="52">
        <v>17</v>
      </c>
      <c r="AT307" s="1">
        <f t="shared" si="164"/>
        <v>0</v>
      </c>
      <c r="AU307" s="1">
        <f t="shared" si="165"/>
        <v>47</v>
      </c>
      <c r="AV307" s="1">
        <f t="shared" si="166"/>
        <v>0</v>
      </c>
      <c r="AW307" s="1">
        <f t="shared" si="167"/>
        <v>0</v>
      </c>
      <c r="AX307" s="1">
        <f t="shared" si="168"/>
        <v>0</v>
      </c>
      <c r="AY307" s="23">
        <f t="shared" si="169"/>
        <v>0.25966850828729282</v>
      </c>
      <c r="AZ307" s="23">
        <f t="shared" si="170"/>
        <v>0.21883687581377345</v>
      </c>
      <c r="BA307" s="23">
        <f t="shared" si="171"/>
        <v>3.7202268888341488</v>
      </c>
      <c r="BB307" s="23">
        <f t="shared" si="172"/>
        <v>7.4404537776682975</v>
      </c>
      <c r="BC307" s="23">
        <f t="shared" si="173"/>
        <v>0</v>
      </c>
      <c r="BD307" s="23">
        <f t="shared" si="174"/>
        <v>7.4404537776682975</v>
      </c>
    </row>
    <row r="308" spans="1:56">
      <c r="A308" s="1" t="s">
        <v>20</v>
      </c>
      <c r="B308" s="1" t="s">
        <v>32</v>
      </c>
      <c r="C308" s="1" t="s">
        <v>22</v>
      </c>
      <c r="D308" s="1" t="s">
        <v>33</v>
      </c>
      <c r="E308" s="51" t="s">
        <v>107</v>
      </c>
      <c r="F308" s="51" t="s">
        <v>108</v>
      </c>
      <c r="G308" s="51" t="s">
        <v>109</v>
      </c>
      <c r="H308" s="51" t="s">
        <v>287</v>
      </c>
      <c r="I308" s="1" t="s">
        <v>111</v>
      </c>
      <c r="J308" s="51" t="s">
        <v>112</v>
      </c>
      <c r="K308" s="51" t="s">
        <v>112</v>
      </c>
      <c r="L308" s="51" t="s">
        <v>112</v>
      </c>
      <c r="M308" s="1">
        <v>2167270</v>
      </c>
      <c r="N308" s="52" t="s">
        <v>602</v>
      </c>
      <c r="O308" s="55">
        <f t="shared" si="176"/>
        <v>42870</v>
      </c>
      <c r="P308" s="55">
        <f t="shared" si="177"/>
        <v>43811</v>
      </c>
      <c r="Q308" s="51">
        <v>1200</v>
      </c>
      <c r="S308" s="51">
        <v>2.5</v>
      </c>
      <c r="U308" s="1">
        <f t="shared" si="145"/>
        <v>942</v>
      </c>
      <c r="V308" s="31">
        <f t="shared" si="146"/>
        <v>1.2738853503184713</v>
      </c>
      <c r="W308" s="31">
        <f t="shared" si="147"/>
        <v>464.96815286624201</v>
      </c>
      <c r="X308" s="31">
        <f t="shared" si="148"/>
        <v>0.58121019108280247</v>
      </c>
      <c r="AA308" s="32">
        <f t="shared" si="149"/>
        <v>42552</v>
      </c>
      <c r="AB308" s="32">
        <f t="shared" si="150"/>
        <v>42735</v>
      </c>
      <c r="AC308" s="49">
        <v>0</v>
      </c>
      <c r="AD308" s="1">
        <f t="shared" si="151"/>
        <v>0</v>
      </c>
      <c r="AE308" s="1">
        <f t="shared" si="152"/>
        <v>0</v>
      </c>
      <c r="AF308" s="1">
        <f t="shared" si="153"/>
        <v>0</v>
      </c>
      <c r="AG308" s="1">
        <f t="shared" si="154"/>
        <v>0</v>
      </c>
      <c r="AH308" s="1">
        <f t="shared" si="155"/>
        <v>0</v>
      </c>
      <c r="AI308" s="23">
        <f t="shared" si="156"/>
        <v>0</v>
      </c>
      <c r="AJ308" s="23">
        <f t="shared" si="157"/>
        <v>0</v>
      </c>
      <c r="AK308" s="23">
        <f t="shared" si="158"/>
        <v>0</v>
      </c>
      <c r="AL308" s="23">
        <f t="shared" si="159"/>
        <v>0</v>
      </c>
      <c r="AM308" s="23">
        <f t="shared" si="160"/>
        <v>0</v>
      </c>
      <c r="AN308" s="23">
        <f t="shared" si="161"/>
        <v>0</v>
      </c>
      <c r="AQ308" s="32">
        <f t="shared" si="162"/>
        <v>42736</v>
      </c>
      <c r="AR308" s="32">
        <f t="shared" si="163"/>
        <v>42916</v>
      </c>
      <c r="AS308" s="52">
        <v>13</v>
      </c>
      <c r="AT308" s="1">
        <f t="shared" si="164"/>
        <v>0</v>
      </c>
      <c r="AU308" s="1">
        <f t="shared" si="165"/>
        <v>47</v>
      </c>
      <c r="AV308" s="1">
        <f t="shared" si="166"/>
        <v>0</v>
      </c>
      <c r="AW308" s="1">
        <f t="shared" si="167"/>
        <v>0</v>
      </c>
      <c r="AX308" s="1">
        <f t="shared" si="168"/>
        <v>0</v>
      </c>
      <c r="AY308" s="23">
        <f t="shared" si="169"/>
        <v>0.25966850828729282</v>
      </c>
      <c r="AZ308" s="23">
        <f t="shared" si="170"/>
        <v>0.15092198331984374</v>
      </c>
      <c r="BA308" s="23">
        <f t="shared" si="171"/>
        <v>1.9619857831579686</v>
      </c>
      <c r="BB308" s="23">
        <f t="shared" si="172"/>
        <v>4.9049644578949216</v>
      </c>
      <c r="BC308" s="23">
        <f t="shared" si="173"/>
        <v>0</v>
      </c>
      <c r="BD308" s="23">
        <f t="shared" si="174"/>
        <v>4.9049644578949216</v>
      </c>
    </row>
    <row r="309" spans="1:56">
      <c r="A309" s="1" t="s">
        <v>20</v>
      </c>
      <c r="B309" s="1" t="s">
        <v>32</v>
      </c>
      <c r="C309" s="1" t="s">
        <v>22</v>
      </c>
      <c r="D309" s="1" t="s">
        <v>33</v>
      </c>
      <c r="E309" s="51" t="s">
        <v>107</v>
      </c>
      <c r="F309" s="51" t="s">
        <v>108</v>
      </c>
      <c r="G309" s="51" t="s">
        <v>109</v>
      </c>
      <c r="H309" s="51" t="s">
        <v>429</v>
      </c>
      <c r="I309" s="1" t="s">
        <v>131</v>
      </c>
      <c r="J309" s="51" t="s">
        <v>112</v>
      </c>
      <c r="K309" s="51" t="s">
        <v>112</v>
      </c>
      <c r="L309" s="51" t="s">
        <v>112</v>
      </c>
      <c r="M309" s="1">
        <v>2167271</v>
      </c>
      <c r="N309" s="52" t="s">
        <v>603</v>
      </c>
      <c r="O309" s="55">
        <f t="shared" si="176"/>
        <v>42870</v>
      </c>
      <c r="P309" s="55">
        <f t="shared" si="177"/>
        <v>43811</v>
      </c>
      <c r="Q309" s="51">
        <v>1480</v>
      </c>
      <c r="S309" s="51">
        <v>1</v>
      </c>
      <c r="U309" s="1">
        <f t="shared" si="145"/>
        <v>942</v>
      </c>
      <c r="V309" s="31">
        <f t="shared" si="146"/>
        <v>1.5711252653927814</v>
      </c>
      <c r="W309" s="31">
        <f t="shared" si="147"/>
        <v>573.46072186836523</v>
      </c>
      <c r="X309" s="31">
        <f t="shared" si="148"/>
        <v>0.71682590233545651</v>
      </c>
      <c r="AA309" s="32">
        <f t="shared" si="149"/>
        <v>42552</v>
      </c>
      <c r="AB309" s="32">
        <f t="shared" si="150"/>
        <v>42735</v>
      </c>
      <c r="AC309" s="49">
        <v>0</v>
      </c>
      <c r="AD309" s="1">
        <f t="shared" si="151"/>
        <v>0</v>
      </c>
      <c r="AE309" s="1">
        <f t="shared" si="152"/>
        <v>0</v>
      </c>
      <c r="AF309" s="1">
        <f t="shared" si="153"/>
        <v>0</v>
      </c>
      <c r="AG309" s="1">
        <f t="shared" si="154"/>
        <v>0</v>
      </c>
      <c r="AH309" s="1">
        <f t="shared" si="155"/>
        <v>0</v>
      </c>
      <c r="AI309" s="23">
        <f t="shared" si="156"/>
        <v>0</v>
      </c>
      <c r="AJ309" s="23">
        <f t="shared" si="157"/>
        <v>0</v>
      </c>
      <c r="AK309" s="23">
        <f t="shared" si="158"/>
        <v>0</v>
      </c>
      <c r="AL309" s="23">
        <f t="shared" si="159"/>
        <v>0</v>
      </c>
      <c r="AM309" s="23">
        <f t="shared" si="160"/>
        <v>0</v>
      </c>
      <c r="AN309" s="23">
        <f t="shared" si="161"/>
        <v>0</v>
      </c>
      <c r="AQ309" s="32">
        <f t="shared" si="162"/>
        <v>42736</v>
      </c>
      <c r="AR309" s="32">
        <f t="shared" si="163"/>
        <v>42916</v>
      </c>
      <c r="AS309" s="52">
        <v>10</v>
      </c>
      <c r="AT309" s="1">
        <f t="shared" si="164"/>
        <v>0</v>
      </c>
      <c r="AU309" s="1">
        <f t="shared" si="165"/>
        <v>47</v>
      </c>
      <c r="AV309" s="1">
        <f t="shared" si="166"/>
        <v>0</v>
      </c>
      <c r="AW309" s="1">
        <f t="shared" si="167"/>
        <v>0</v>
      </c>
      <c r="AX309" s="1">
        <f t="shared" si="168"/>
        <v>0</v>
      </c>
      <c r="AY309" s="23">
        <f t="shared" si="169"/>
        <v>0.25966850828729282</v>
      </c>
      <c r="AZ309" s="23">
        <f t="shared" si="170"/>
        <v>0.18613711276114064</v>
      </c>
      <c r="BA309" s="23">
        <f t="shared" si="171"/>
        <v>1.8613711276114064</v>
      </c>
      <c r="BB309" s="23">
        <f t="shared" si="172"/>
        <v>1.8613711276114064</v>
      </c>
      <c r="BC309" s="23">
        <f t="shared" si="173"/>
        <v>0</v>
      </c>
      <c r="BD309" s="23">
        <f t="shared" si="174"/>
        <v>1.8613711276114064</v>
      </c>
    </row>
    <row r="310" spans="1:56">
      <c r="A310" s="1" t="s">
        <v>20</v>
      </c>
      <c r="B310" s="1" t="s">
        <v>32</v>
      </c>
      <c r="C310" s="1" t="s">
        <v>22</v>
      </c>
      <c r="D310" s="1" t="s">
        <v>33</v>
      </c>
      <c r="E310" s="51" t="s">
        <v>107</v>
      </c>
      <c r="F310" s="51" t="s">
        <v>108</v>
      </c>
      <c r="G310" s="51" t="s">
        <v>109</v>
      </c>
      <c r="H310" s="51" t="s">
        <v>146</v>
      </c>
      <c r="I310" s="1" t="s">
        <v>147</v>
      </c>
      <c r="J310" s="51" t="s">
        <v>148</v>
      </c>
      <c r="K310" s="51" t="s">
        <v>112</v>
      </c>
      <c r="L310" s="51" t="s">
        <v>112</v>
      </c>
      <c r="M310" s="1">
        <v>2167273</v>
      </c>
      <c r="N310" s="52" t="s">
        <v>604</v>
      </c>
      <c r="O310" s="55">
        <f t="shared" si="176"/>
        <v>42870</v>
      </c>
      <c r="P310" s="55">
        <f t="shared" si="177"/>
        <v>43811</v>
      </c>
      <c r="Q310" s="51">
        <v>1240</v>
      </c>
      <c r="S310" s="51">
        <v>2.5</v>
      </c>
      <c r="U310" s="1">
        <f t="shared" si="145"/>
        <v>942</v>
      </c>
      <c r="V310" s="31">
        <f t="shared" si="146"/>
        <v>1.316348195329087</v>
      </c>
      <c r="W310" s="31">
        <f t="shared" si="147"/>
        <v>480.46709129511675</v>
      </c>
      <c r="X310" s="31">
        <f t="shared" si="148"/>
        <v>0.60058386411889597</v>
      </c>
      <c r="AA310" s="32">
        <f t="shared" si="149"/>
        <v>42552</v>
      </c>
      <c r="AB310" s="32">
        <f t="shared" si="150"/>
        <v>42735</v>
      </c>
      <c r="AC310" s="49">
        <v>0</v>
      </c>
      <c r="AD310" s="1">
        <f t="shared" si="151"/>
        <v>0</v>
      </c>
      <c r="AE310" s="1">
        <f t="shared" si="152"/>
        <v>0</v>
      </c>
      <c r="AF310" s="1">
        <f t="shared" si="153"/>
        <v>0</v>
      </c>
      <c r="AG310" s="1">
        <f t="shared" si="154"/>
        <v>0</v>
      </c>
      <c r="AH310" s="1">
        <f t="shared" si="155"/>
        <v>0</v>
      </c>
      <c r="AI310" s="23">
        <f t="shared" si="156"/>
        <v>0</v>
      </c>
      <c r="AJ310" s="23">
        <f t="shared" si="157"/>
        <v>0</v>
      </c>
      <c r="AK310" s="23">
        <f t="shared" si="158"/>
        <v>0</v>
      </c>
      <c r="AL310" s="23">
        <f t="shared" si="159"/>
        <v>0</v>
      </c>
      <c r="AM310" s="23">
        <f t="shared" si="160"/>
        <v>0</v>
      </c>
      <c r="AN310" s="23">
        <f t="shared" si="161"/>
        <v>0</v>
      </c>
      <c r="AQ310" s="32">
        <f t="shared" si="162"/>
        <v>42736</v>
      </c>
      <c r="AR310" s="32">
        <f t="shared" si="163"/>
        <v>42916</v>
      </c>
      <c r="AS310" s="52">
        <v>15</v>
      </c>
      <c r="AT310" s="1">
        <f t="shared" si="164"/>
        <v>0</v>
      </c>
      <c r="AU310" s="1">
        <f t="shared" si="165"/>
        <v>47</v>
      </c>
      <c r="AV310" s="1">
        <f t="shared" si="166"/>
        <v>0</v>
      </c>
      <c r="AW310" s="1">
        <f t="shared" si="167"/>
        <v>0</v>
      </c>
      <c r="AX310" s="1">
        <f t="shared" si="168"/>
        <v>0</v>
      </c>
      <c r="AY310" s="23">
        <f t="shared" si="169"/>
        <v>0.25966850828729282</v>
      </c>
      <c r="AZ310" s="23">
        <f t="shared" si="170"/>
        <v>0.15595271609717187</v>
      </c>
      <c r="BA310" s="23">
        <f t="shared" si="171"/>
        <v>2.3392907414575781</v>
      </c>
      <c r="BB310" s="23">
        <f t="shared" si="172"/>
        <v>5.8482268536439452</v>
      </c>
      <c r="BC310" s="23">
        <f t="shared" si="173"/>
        <v>2.9241134268219726</v>
      </c>
      <c r="BD310" s="23">
        <f t="shared" si="174"/>
        <v>8.7723402804659187</v>
      </c>
    </row>
    <row r="311" spans="1:56">
      <c r="A311" s="1" t="s">
        <v>20</v>
      </c>
      <c r="B311" s="1" t="s">
        <v>32</v>
      </c>
      <c r="C311" s="1" t="s">
        <v>22</v>
      </c>
      <c r="D311" s="1" t="s">
        <v>33</v>
      </c>
      <c r="E311" s="51" t="s">
        <v>107</v>
      </c>
      <c r="F311" s="51" t="s">
        <v>108</v>
      </c>
      <c r="G311" s="51" t="s">
        <v>109</v>
      </c>
      <c r="H311" s="51" t="s">
        <v>277</v>
      </c>
      <c r="I311" s="1" t="s">
        <v>278</v>
      </c>
      <c r="J311" s="51" t="s">
        <v>112</v>
      </c>
      <c r="K311" s="51" t="s">
        <v>112</v>
      </c>
      <c r="L311" s="51" t="s">
        <v>112</v>
      </c>
      <c r="M311" s="1">
        <v>2167275</v>
      </c>
      <c r="N311" s="52" t="s">
        <v>605</v>
      </c>
      <c r="O311" s="55">
        <f t="shared" si="176"/>
        <v>42870</v>
      </c>
      <c r="P311" s="55">
        <f t="shared" si="177"/>
        <v>43811</v>
      </c>
      <c r="Q311" s="51">
        <v>1000</v>
      </c>
      <c r="S311" s="51">
        <v>1.5</v>
      </c>
      <c r="U311" s="1">
        <f t="shared" si="145"/>
        <v>942</v>
      </c>
      <c r="V311" s="31">
        <f t="shared" si="146"/>
        <v>1.0615711252653928</v>
      </c>
      <c r="W311" s="31">
        <f t="shared" si="147"/>
        <v>387.47346072186838</v>
      </c>
      <c r="X311" s="31">
        <f t="shared" si="148"/>
        <v>0.48434182590233549</v>
      </c>
      <c r="AA311" s="32">
        <f t="shared" si="149"/>
        <v>42552</v>
      </c>
      <c r="AB311" s="32">
        <f t="shared" si="150"/>
        <v>42735</v>
      </c>
      <c r="AC311" s="49">
        <v>0</v>
      </c>
      <c r="AD311" s="1">
        <f t="shared" si="151"/>
        <v>0</v>
      </c>
      <c r="AE311" s="1">
        <f t="shared" si="152"/>
        <v>0</v>
      </c>
      <c r="AF311" s="1">
        <f t="shared" si="153"/>
        <v>0</v>
      </c>
      <c r="AG311" s="1">
        <f t="shared" si="154"/>
        <v>0</v>
      </c>
      <c r="AH311" s="1">
        <f t="shared" si="155"/>
        <v>0</v>
      </c>
      <c r="AI311" s="23">
        <f t="shared" si="156"/>
        <v>0</v>
      </c>
      <c r="AJ311" s="23">
        <f t="shared" si="157"/>
        <v>0</v>
      </c>
      <c r="AK311" s="23">
        <f t="shared" si="158"/>
        <v>0</v>
      </c>
      <c r="AL311" s="23">
        <f t="shared" si="159"/>
        <v>0</v>
      </c>
      <c r="AM311" s="23">
        <f t="shared" si="160"/>
        <v>0</v>
      </c>
      <c r="AN311" s="23">
        <f t="shared" si="161"/>
        <v>0</v>
      </c>
      <c r="AQ311" s="32">
        <f t="shared" si="162"/>
        <v>42736</v>
      </c>
      <c r="AR311" s="32">
        <f t="shared" si="163"/>
        <v>42916</v>
      </c>
      <c r="AS311" s="52">
        <v>29</v>
      </c>
      <c r="AT311" s="1">
        <f t="shared" si="164"/>
        <v>0</v>
      </c>
      <c r="AU311" s="1">
        <f t="shared" si="165"/>
        <v>47</v>
      </c>
      <c r="AV311" s="1">
        <f t="shared" si="166"/>
        <v>0</v>
      </c>
      <c r="AW311" s="1">
        <f t="shared" si="167"/>
        <v>0</v>
      </c>
      <c r="AX311" s="1">
        <f t="shared" si="168"/>
        <v>0</v>
      </c>
      <c r="AY311" s="23">
        <f t="shared" si="169"/>
        <v>0.25966850828729282</v>
      </c>
      <c r="AZ311" s="23">
        <f t="shared" si="170"/>
        <v>0.12576831943320313</v>
      </c>
      <c r="BA311" s="23">
        <f t="shared" si="171"/>
        <v>3.6472812635628906</v>
      </c>
      <c r="BB311" s="23">
        <f t="shared" si="172"/>
        <v>5.4709218953443361</v>
      </c>
      <c r="BC311" s="23">
        <f t="shared" si="173"/>
        <v>0</v>
      </c>
      <c r="BD311" s="23">
        <f t="shared" si="174"/>
        <v>5.4709218953443361</v>
      </c>
    </row>
    <row r="312" spans="1:56">
      <c r="A312" s="1" t="s">
        <v>20</v>
      </c>
      <c r="B312" s="1" t="s">
        <v>32</v>
      </c>
      <c r="C312" s="1" t="s">
        <v>22</v>
      </c>
      <c r="D312" s="1" t="s">
        <v>33</v>
      </c>
      <c r="E312" s="51" t="s">
        <v>107</v>
      </c>
      <c r="F312" s="51" t="s">
        <v>108</v>
      </c>
      <c r="G312" s="51" t="s">
        <v>109</v>
      </c>
      <c r="H312" s="51" t="s">
        <v>124</v>
      </c>
      <c r="I312" s="1" t="s">
        <v>125</v>
      </c>
      <c r="J312" s="51" t="s">
        <v>112</v>
      </c>
      <c r="K312" s="51" t="s">
        <v>112</v>
      </c>
      <c r="L312" s="51" t="s">
        <v>112</v>
      </c>
      <c r="M312" s="1">
        <v>2167276</v>
      </c>
      <c r="N312" s="52" t="s">
        <v>606</v>
      </c>
      <c r="O312" s="55">
        <f t="shared" si="176"/>
        <v>42870</v>
      </c>
      <c r="P312" s="55">
        <f t="shared" si="177"/>
        <v>43811</v>
      </c>
      <c r="Q312" s="51">
        <v>1200</v>
      </c>
      <c r="S312" s="51">
        <v>2.5</v>
      </c>
      <c r="U312" s="1">
        <f t="shared" si="145"/>
        <v>942</v>
      </c>
      <c r="V312" s="31">
        <f t="shared" si="146"/>
        <v>1.2738853503184713</v>
      </c>
      <c r="W312" s="31">
        <f t="shared" si="147"/>
        <v>464.96815286624201</v>
      </c>
      <c r="X312" s="31">
        <f t="shared" si="148"/>
        <v>0.58121019108280247</v>
      </c>
      <c r="AA312" s="32">
        <f t="shared" si="149"/>
        <v>42552</v>
      </c>
      <c r="AB312" s="32">
        <f t="shared" si="150"/>
        <v>42735</v>
      </c>
      <c r="AC312" s="49">
        <v>0</v>
      </c>
      <c r="AD312" s="1">
        <f t="shared" si="151"/>
        <v>0</v>
      </c>
      <c r="AE312" s="1">
        <f t="shared" si="152"/>
        <v>0</v>
      </c>
      <c r="AF312" s="1">
        <f t="shared" si="153"/>
        <v>0</v>
      </c>
      <c r="AG312" s="1">
        <f t="shared" si="154"/>
        <v>0</v>
      </c>
      <c r="AH312" s="1">
        <f t="shared" si="155"/>
        <v>0</v>
      </c>
      <c r="AI312" s="23">
        <f t="shared" si="156"/>
        <v>0</v>
      </c>
      <c r="AJ312" s="23">
        <f t="shared" si="157"/>
        <v>0</v>
      </c>
      <c r="AK312" s="23">
        <f t="shared" si="158"/>
        <v>0</v>
      </c>
      <c r="AL312" s="23">
        <f t="shared" si="159"/>
        <v>0</v>
      </c>
      <c r="AM312" s="23">
        <f t="shared" si="160"/>
        <v>0</v>
      </c>
      <c r="AN312" s="23">
        <f t="shared" si="161"/>
        <v>0</v>
      </c>
      <c r="AQ312" s="32">
        <f t="shared" si="162"/>
        <v>42736</v>
      </c>
      <c r="AR312" s="32">
        <f t="shared" si="163"/>
        <v>42916</v>
      </c>
      <c r="AS312" s="52">
        <v>26</v>
      </c>
      <c r="AT312" s="1">
        <f t="shared" si="164"/>
        <v>0</v>
      </c>
      <c r="AU312" s="1">
        <f t="shared" si="165"/>
        <v>47</v>
      </c>
      <c r="AV312" s="1">
        <f t="shared" si="166"/>
        <v>0</v>
      </c>
      <c r="AW312" s="1">
        <f t="shared" si="167"/>
        <v>0</v>
      </c>
      <c r="AX312" s="1">
        <f t="shared" si="168"/>
        <v>0</v>
      </c>
      <c r="AY312" s="23">
        <f t="shared" si="169"/>
        <v>0.25966850828729282</v>
      </c>
      <c r="AZ312" s="23">
        <f t="shared" si="170"/>
        <v>0.15092198331984374</v>
      </c>
      <c r="BA312" s="23">
        <f t="shared" si="171"/>
        <v>3.9239715663159371</v>
      </c>
      <c r="BB312" s="23">
        <f t="shared" si="172"/>
        <v>9.8099289157898433</v>
      </c>
      <c r="BC312" s="23">
        <f t="shared" si="173"/>
        <v>0</v>
      </c>
      <c r="BD312" s="23">
        <f t="shared" si="174"/>
        <v>9.8099289157898433</v>
      </c>
    </row>
    <row r="313" spans="1:56">
      <c r="A313" s="1" t="s">
        <v>20</v>
      </c>
      <c r="B313" s="1" t="s">
        <v>32</v>
      </c>
      <c r="C313" s="1" t="s">
        <v>22</v>
      </c>
      <c r="D313" s="1" t="s">
        <v>33</v>
      </c>
      <c r="E313" s="51" t="s">
        <v>107</v>
      </c>
      <c r="F313" s="51" t="s">
        <v>108</v>
      </c>
      <c r="G313" s="51" t="s">
        <v>109</v>
      </c>
      <c r="H313" s="51" t="s">
        <v>273</v>
      </c>
      <c r="I313" s="1" t="s">
        <v>128</v>
      </c>
      <c r="J313" s="51" t="s">
        <v>112</v>
      </c>
      <c r="K313" s="51" t="s">
        <v>112</v>
      </c>
      <c r="L313" s="51" t="s">
        <v>112</v>
      </c>
      <c r="M313" s="1">
        <v>2167279</v>
      </c>
      <c r="N313" s="52" t="s">
        <v>607</v>
      </c>
      <c r="O313" s="55">
        <f t="shared" si="176"/>
        <v>42870</v>
      </c>
      <c r="P313" s="55">
        <f t="shared" si="177"/>
        <v>43811</v>
      </c>
      <c r="Q313" s="51">
        <v>1340</v>
      </c>
      <c r="S313" s="51">
        <v>2.5</v>
      </c>
      <c r="U313" s="1">
        <f t="shared" si="145"/>
        <v>942</v>
      </c>
      <c r="V313" s="31">
        <f t="shared" si="146"/>
        <v>1.4225053078556262</v>
      </c>
      <c r="W313" s="31">
        <f t="shared" si="147"/>
        <v>519.21443736730362</v>
      </c>
      <c r="X313" s="31">
        <f t="shared" si="148"/>
        <v>0.64901804670912955</v>
      </c>
      <c r="AA313" s="32">
        <f t="shared" si="149"/>
        <v>42552</v>
      </c>
      <c r="AB313" s="32">
        <f t="shared" si="150"/>
        <v>42735</v>
      </c>
      <c r="AC313" s="49">
        <v>0</v>
      </c>
      <c r="AD313" s="1">
        <f t="shared" si="151"/>
        <v>0</v>
      </c>
      <c r="AE313" s="1">
        <f t="shared" si="152"/>
        <v>0</v>
      </c>
      <c r="AF313" s="1">
        <f t="shared" si="153"/>
        <v>0</v>
      </c>
      <c r="AG313" s="1">
        <f t="shared" si="154"/>
        <v>0</v>
      </c>
      <c r="AH313" s="1">
        <f t="shared" si="155"/>
        <v>0</v>
      </c>
      <c r="AI313" s="23">
        <f t="shared" si="156"/>
        <v>0</v>
      </c>
      <c r="AJ313" s="23">
        <f t="shared" si="157"/>
        <v>0</v>
      </c>
      <c r="AK313" s="23">
        <f t="shared" si="158"/>
        <v>0</v>
      </c>
      <c r="AL313" s="23">
        <f t="shared" si="159"/>
        <v>0</v>
      </c>
      <c r="AM313" s="23">
        <f t="shared" si="160"/>
        <v>0</v>
      </c>
      <c r="AN313" s="23">
        <f t="shared" si="161"/>
        <v>0</v>
      </c>
      <c r="AQ313" s="32">
        <f t="shared" si="162"/>
        <v>42736</v>
      </c>
      <c r="AR313" s="32">
        <f t="shared" si="163"/>
        <v>42916</v>
      </c>
      <c r="AS313" s="52">
        <v>26</v>
      </c>
      <c r="AT313" s="1">
        <f t="shared" si="164"/>
        <v>0</v>
      </c>
      <c r="AU313" s="1">
        <f t="shared" si="165"/>
        <v>47</v>
      </c>
      <c r="AV313" s="1">
        <f t="shared" si="166"/>
        <v>0</v>
      </c>
      <c r="AW313" s="1">
        <f t="shared" si="167"/>
        <v>0</v>
      </c>
      <c r="AX313" s="1">
        <f t="shared" si="168"/>
        <v>0</v>
      </c>
      <c r="AY313" s="23">
        <f t="shared" si="169"/>
        <v>0.25966850828729282</v>
      </c>
      <c r="AZ313" s="23">
        <f t="shared" si="170"/>
        <v>0.16852954804049219</v>
      </c>
      <c r="BA313" s="23">
        <f t="shared" si="171"/>
        <v>4.3817682490527972</v>
      </c>
      <c r="BB313" s="23">
        <f t="shared" si="172"/>
        <v>10.954420622631993</v>
      </c>
      <c r="BC313" s="23">
        <f t="shared" si="173"/>
        <v>0</v>
      </c>
      <c r="BD313" s="23">
        <f t="shared" si="174"/>
        <v>10.954420622631993</v>
      </c>
    </row>
    <row r="314" spans="1:56">
      <c r="A314" s="1" t="s">
        <v>20</v>
      </c>
      <c r="B314" s="1" t="s">
        <v>32</v>
      </c>
      <c r="C314" s="1" t="s">
        <v>22</v>
      </c>
      <c r="D314" s="1" t="s">
        <v>33</v>
      </c>
      <c r="E314" s="51" t="s">
        <v>107</v>
      </c>
      <c r="F314" s="51" t="s">
        <v>108</v>
      </c>
      <c r="G314" s="51" t="s">
        <v>109</v>
      </c>
      <c r="H314" s="51" t="s">
        <v>275</v>
      </c>
      <c r="I314" s="1" t="s">
        <v>128</v>
      </c>
      <c r="J314" s="51" t="s">
        <v>112</v>
      </c>
      <c r="K314" s="51" t="s">
        <v>112</v>
      </c>
      <c r="L314" s="51" t="s">
        <v>112</v>
      </c>
      <c r="M314" s="1">
        <v>2167282</v>
      </c>
      <c r="N314" s="52" t="s">
        <v>608</v>
      </c>
      <c r="O314" s="55">
        <f t="shared" si="176"/>
        <v>42870</v>
      </c>
      <c r="P314" s="55">
        <f t="shared" si="177"/>
        <v>43811</v>
      </c>
      <c r="Q314" s="51">
        <v>1267</v>
      </c>
      <c r="S314" s="51">
        <v>2.5</v>
      </c>
      <c r="U314" s="1">
        <f t="shared" si="145"/>
        <v>942</v>
      </c>
      <c r="V314" s="31">
        <f t="shared" si="146"/>
        <v>1.3450106157112527</v>
      </c>
      <c r="W314" s="31">
        <f t="shared" si="147"/>
        <v>490.92887473460723</v>
      </c>
      <c r="X314" s="31">
        <f t="shared" si="148"/>
        <v>0.61366109341825903</v>
      </c>
      <c r="AA314" s="32">
        <f t="shared" si="149"/>
        <v>42552</v>
      </c>
      <c r="AB314" s="32">
        <f t="shared" si="150"/>
        <v>42735</v>
      </c>
      <c r="AC314" s="49">
        <v>0</v>
      </c>
      <c r="AD314" s="1">
        <f t="shared" si="151"/>
        <v>0</v>
      </c>
      <c r="AE314" s="1">
        <f t="shared" si="152"/>
        <v>0</v>
      </c>
      <c r="AF314" s="1">
        <f t="shared" si="153"/>
        <v>0</v>
      </c>
      <c r="AG314" s="1">
        <f t="shared" si="154"/>
        <v>0</v>
      </c>
      <c r="AH314" s="1">
        <f t="shared" si="155"/>
        <v>0</v>
      </c>
      <c r="AI314" s="23">
        <f t="shared" si="156"/>
        <v>0</v>
      </c>
      <c r="AJ314" s="23">
        <f t="shared" si="157"/>
        <v>0</v>
      </c>
      <c r="AK314" s="23">
        <f t="shared" si="158"/>
        <v>0</v>
      </c>
      <c r="AL314" s="23">
        <f t="shared" si="159"/>
        <v>0</v>
      </c>
      <c r="AM314" s="23">
        <f t="shared" si="160"/>
        <v>0</v>
      </c>
      <c r="AN314" s="23">
        <f t="shared" si="161"/>
        <v>0</v>
      </c>
      <c r="AQ314" s="32">
        <f t="shared" si="162"/>
        <v>42736</v>
      </c>
      <c r="AR314" s="32">
        <f t="shared" si="163"/>
        <v>42916</v>
      </c>
      <c r="AS314" s="52">
        <v>27</v>
      </c>
      <c r="AT314" s="1">
        <f t="shared" si="164"/>
        <v>0</v>
      </c>
      <c r="AU314" s="1">
        <f t="shared" si="165"/>
        <v>47</v>
      </c>
      <c r="AV314" s="1">
        <f t="shared" si="166"/>
        <v>0</v>
      </c>
      <c r="AW314" s="1">
        <f t="shared" si="167"/>
        <v>0</v>
      </c>
      <c r="AX314" s="1">
        <f t="shared" si="168"/>
        <v>0</v>
      </c>
      <c r="AY314" s="23">
        <f t="shared" si="169"/>
        <v>0.25966850828729282</v>
      </c>
      <c r="AZ314" s="23">
        <f t="shared" si="170"/>
        <v>0.15934846072186837</v>
      </c>
      <c r="BA314" s="23">
        <f t="shared" si="171"/>
        <v>4.3024084394904456</v>
      </c>
      <c r="BB314" s="23">
        <f t="shared" si="172"/>
        <v>10.756021098726114</v>
      </c>
      <c r="BC314" s="23">
        <f t="shared" si="173"/>
        <v>0</v>
      </c>
      <c r="BD314" s="23">
        <f t="shared" si="174"/>
        <v>10.756021098726114</v>
      </c>
    </row>
    <row r="315" spans="1:56">
      <c r="A315" s="1" t="s">
        <v>20</v>
      </c>
      <c r="B315" s="1" t="s">
        <v>32</v>
      </c>
      <c r="C315" s="1" t="s">
        <v>22</v>
      </c>
      <c r="D315" s="1" t="s">
        <v>33</v>
      </c>
      <c r="E315" s="51" t="s">
        <v>107</v>
      </c>
      <c r="F315" s="51" t="s">
        <v>108</v>
      </c>
      <c r="G315" s="51" t="s">
        <v>109</v>
      </c>
      <c r="H315" s="51" t="s">
        <v>609</v>
      </c>
      <c r="I315" s="1" t="s">
        <v>214</v>
      </c>
      <c r="J315" s="51" t="s">
        <v>112</v>
      </c>
      <c r="K315" s="51" t="s">
        <v>112</v>
      </c>
      <c r="L315" s="51" t="s">
        <v>112</v>
      </c>
      <c r="M315" s="1">
        <v>2167286</v>
      </c>
      <c r="N315" s="52" t="s">
        <v>610</v>
      </c>
      <c r="O315" s="55">
        <f t="shared" si="176"/>
        <v>42870</v>
      </c>
      <c r="P315" s="55">
        <f t="shared" si="177"/>
        <v>43811</v>
      </c>
      <c r="Q315" s="51">
        <v>1090</v>
      </c>
      <c r="S315" s="51">
        <v>1</v>
      </c>
      <c r="U315" s="1">
        <f t="shared" si="145"/>
        <v>942</v>
      </c>
      <c r="V315" s="31">
        <f t="shared" si="146"/>
        <v>1.1571125265392781</v>
      </c>
      <c r="W315" s="31">
        <f t="shared" si="147"/>
        <v>422.34607218683652</v>
      </c>
      <c r="X315" s="31">
        <f t="shared" si="148"/>
        <v>0.52793259023354566</v>
      </c>
      <c r="AA315" s="32">
        <f t="shared" si="149"/>
        <v>42552</v>
      </c>
      <c r="AB315" s="32">
        <f t="shared" si="150"/>
        <v>42735</v>
      </c>
      <c r="AC315" s="49">
        <v>0</v>
      </c>
      <c r="AD315" s="1">
        <f t="shared" si="151"/>
        <v>0</v>
      </c>
      <c r="AE315" s="1">
        <f t="shared" si="152"/>
        <v>0</v>
      </c>
      <c r="AF315" s="1">
        <f t="shared" si="153"/>
        <v>0</v>
      </c>
      <c r="AG315" s="1">
        <f t="shared" si="154"/>
        <v>0</v>
      </c>
      <c r="AH315" s="1">
        <f t="shared" si="155"/>
        <v>0</v>
      </c>
      <c r="AI315" s="23">
        <f t="shared" si="156"/>
        <v>0</v>
      </c>
      <c r="AJ315" s="23">
        <f t="shared" si="157"/>
        <v>0</v>
      </c>
      <c r="AK315" s="23">
        <f t="shared" si="158"/>
        <v>0</v>
      </c>
      <c r="AL315" s="23">
        <f t="shared" si="159"/>
        <v>0</v>
      </c>
      <c r="AM315" s="23">
        <f t="shared" si="160"/>
        <v>0</v>
      </c>
      <c r="AN315" s="23">
        <f t="shared" si="161"/>
        <v>0</v>
      </c>
      <c r="AQ315" s="32">
        <f t="shared" si="162"/>
        <v>42736</v>
      </c>
      <c r="AR315" s="32">
        <f t="shared" si="163"/>
        <v>42916</v>
      </c>
      <c r="AS315" s="52">
        <v>18</v>
      </c>
      <c r="AT315" s="1">
        <f t="shared" si="164"/>
        <v>0</v>
      </c>
      <c r="AU315" s="1">
        <f t="shared" si="165"/>
        <v>47</v>
      </c>
      <c r="AV315" s="1">
        <f t="shared" si="166"/>
        <v>0</v>
      </c>
      <c r="AW315" s="1">
        <f t="shared" si="167"/>
        <v>0</v>
      </c>
      <c r="AX315" s="1">
        <f t="shared" si="168"/>
        <v>0</v>
      </c>
      <c r="AY315" s="23">
        <f t="shared" si="169"/>
        <v>0.25966850828729282</v>
      </c>
      <c r="AZ315" s="23">
        <f t="shared" si="170"/>
        <v>0.13708746818219142</v>
      </c>
      <c r="BA315" s="23">
        <f t="shared" si="171"/>
        <v>2.4675744272794455</v>
      </c>
      <c r="BB315" s="23">
        <f t="shared" si="172"/>
        <v>2.4675744272794455</v>
      </c>
      <c r="BC315" s="23">
        <f t="shared" si="173"/>
        <v>0</v>
      </c>
      <c r="BD315" s="23">
        <f t="shared" si="174"/>
        <v>2.4675744272794455</v>
      </c>
    </row>
    <row r="316" spans="1:56">
      <c r="A316" s="1" t="s">
        <v>20</v>
      </c>
      <c r="B316" s="1" t="s">
        <v>32</v>
      </c>
      <c r="C316" s="1" t="s">
        <v>22</v>
      </c>
      <c r="D316" s="1" t="s">
        <v>33</v>
      </c>
      <c r="E316" s="51" t="s">
        <v>107</v>
      </c>
      <c r="F316" s="51" t="s">
        <v>108</v>
      </c>
      <c r="G316" s="51" t="s">
        <v>109</v>
      </c>
      <c r="H316" s="51" t="s">
        <v>127</v>
      </c>
      <c r="I316" s="1" t="s">
        <v>128</v>
      </c>
      <c r="J316" s="51" t="s">
        <v>112</v>
      </c>
      <c r="K316" s="51" t="s">
        <v>112</v>
      </c>
      <c r="L316" s="51" t="s">
        <v>112</v>
      </c>
      <c r="M316" s="1">
        <v>2167290</v>
      </c>
      <c r="N316" s="52" t="s">
        <v>611</v>
      </c>
      <c r="O316" s="55">
        <f t="shared" si="176"/>
        <v>42870</v>
      </c>
      <c r="P316" s="55">
        <f t="shared" si="177"/>
        <v>43811</v>
      </c>
      <c r="Q316" s="51">
        <v>1557</v>
      </c>
      <c r="S316" s="51">
        <v>2.5</v>
      </c>
      <c r="U316" s="1">
        <f t="shared" si="145"/>
        <v>942</v>
      </c>
      <c r="V316" s="31">
        <f t="shared" si="146"/>
        <v>1.6528662420382165</v>
      </c>
      <c r="W316" s="31">
        <f t="shared" si="147"/>
        <v>603.29617834394901</v>
      </c>
      <c r="X316" s="31">
        <f t="shared" si="148"/>
        <v>0.7541202229299363</v>
      </c>
      <c r="AA316" s="32">
        <f t="shared" si="149"/>
        <v>42552</v>
      </c>
      <c r="AB316" s="32">
        <f t="shared" si="150"/>
        <v>42735</v>
      </c>
      <c r="AC316" s="49">
        <v>0</v>
      </c>
      <c r="AD316" s="1">
        <f t="shared" si="151"/>
        <v>0</v>
      </c>
      <c r="AE316" s="1">
        <f t="shared" si="152"/>
        <v>0</v>
      </c>
      <c r="AF316" s="1">
        <f t="shared" si="153"/>
        <v>0</v>
      </c>
      <c r="AG316" s="1">
        <f t="shared" si="154"/>
        <v>0</v>
      </c>
      <c r="AH316" s="1">
        <f t="shared" si="155"/>
        <v>0</v>
      </c>
      <c r="AI316" s="23">
        <f t="shared" si="156"/>
        <v>0</v>
      </c>
      <c r="AJ316" s="23">
        <f t="shared" si="157"/>
        <v>0</v>
      </c>
      <c r="AK316" s="23">
        <f t="shared" si="158"/>
        <v>0</v>
      </c>
      <c r="AL316" s="23">
        <f t="shared" si="159"/>
        <v>0</v>
      </c>
      <c r="AM316" s="23">
        <f t="shared" si="160"/>
        <v>0</v>
      </c>
      <c r="AN316" s="23">
        <f t="shared" si="161"/>
        <v>0</v>
      </c>
      <c r="AQ316" s="32">
        <f t="shared" si="162"/>
        <v>42736</v>
      </c>
      <c r="AR316" s="32">
        <f t="shared" si="163"/>
        <v>42916</v>
      </c>
      <c r="AS316" s="52">
        <v>29</v>
      </c>
      <c r="AT316" s="1">
        <f t="shared" si="164"/>
        <v>0</v>
      </c>
      <c r="AU316" s="1">
        <f t="shared" si="165"/>
        <v>47</v>
      </c>
      <c r="AV316" s="1">
        <f t="shared" si="166"/>
        <v>0</v>
      </c>
      <c r="AW316" s="1">
        <f t="shared" si="167"/>
        <v>0</v>
      </c>
      <c r="AX316" s="1">
        <f t="shared" si="168"/>
        <v>0</v>
      </c>
      <c r="AY316" s="23">
        <f t="shared" si="169"/>
        <v>0.25966850828729282</v>
      </c>
      <c r="AZ316" s="23">
        <f t="shared" si="170"/>
        <v>0.19582127335749727</v>
      </c>
      <c r="BA316" s="23">
        <f t="shared" si="171"/>
        <v>5.6788169273674205</v>
      </c>
      <c r="BB316" s="23">
        <f t="shared" si="172"/>
        <v>14.197042318418552</v>
      </c>
      <c r="BC316" s="23">
        <f t="shared" si="173"/>
        <v>0</v>
      </c>
      <c r="BD316" s="23">
        <f t="shared" si="174"/>
        <v>14.197042318418552</v>
      </c>
    </row>
    <row r="317" spans="1:56">
      <c r="A317" s="1" t="s">
        <v>20</v>
      </c>
      <c r="B317" s="1" t="s">
        <v>32</v>
      </c>
      <c r="C317" s="1" t="s">
        <v>22</v>
      </c>
      <c r="D317" s="1" t="s">
        <v>33</v>
      </c>
      <c r="E317" s="51" t="s">
        <v>107</v>
      </c>
      <c r="F317" s="51" t="s">
        <v>108</v>
      </c>
      <c r="G317" s="51" t="s">
        <v>109</v>
      </c>
      <c r="H317" s="51" t="s">
        <v>161</v>
      </c>
      <c r="I317" s="1" t="s">
        <v>131</v>
      </c>
      <c r="J317" s="51" t="s">
        <v>112</v>
      </c>
      <c r="K317" s="51" t="s">
        <v>112</v>
      </c>
      <c r="L317" s="51" t="s">
        <v>112</v>
      </c>
      <c r="M317" s="1">
        <v>2167299</v>
      </c>
      <c r="N317" s="52" t="s">
        <v>612</v>
      </c>
      <c r="O317" s="55">
        <f t="shared" si="176"/>
        <v>42870</v>
      </c>
      <c r="P317" s="55">
        <f t="shared" si="177"/>
        <v>43811</v>
      </c>
      <c r="Q317" s="51">
        <v>1540</v>
      </c>
      <c r="S317" s="51">
        <v>2.5</v>
      </c>
      <c r="U317" s="1">
        <f t="shared" si="145"/>
        <v>942</v>
      </c>
      <c r="V317" s="31">
        <f t="shared" si="146"/>
        <v>1.634819532908705</v>
      </c>
      <c r="W317" s="31">
        <f t="shared" si="147"/>
        <v>596.70912951167736</v>
      </c>
      <c r="X317" s="31">
        <f t="shared" si="148"/>
        <v>0.7458864118895967</v>
      </c>
      <c r="AA317" s="32">
        <f t="shared" si="149"/>
        <v>42552</v>
      </c>
      <c r="AB317" s="32">
        <f t="shared" si="150"/>
        <v>42735</v>
      </c>
      <c r="AC317" s="49">
        <v>0</v>
      </c>
      <c r="AD317" s="1">
        <f t="shared" si="151"/>
        <v>0</v>
      </c>
      <c r="AE317" s="1">
        <f t="shared" si="152"/>
        <v>0</v>
      </c>
      <c r="AF317" s="1">
        <f t="shared" si="153"/>
        <v>0</v>
      </c>
      <c r="AG317" s="1">
        <f t="shared" si="154"/>
        <v>0</v>
      </c>
      <c r="AH317" s="1">
        <f t="shared" si="155"/>
        <v>0</v>
      </c>
      <c r="AI317" s="23">
        <f t="shared" si="156"/>
        <v>0</v>
      </c>
      <c r="AJ317" s="23">
        <f t="shared" si="157"/>
        <v>0</v>
      </c>
      <c r="AK317" s="23">
        <f t="shared" si="158"/>
        <v>0</v>
      </c>
      <c r="AL317" s="23">
        <f t="shared" si="159"/>
        <v>0</v>
      </c>
      <c r="AM317" s="23">
        <f t="shared" si="160"/>
        <v>0</v>
      </c>
      <c r="AN317" s="23">
        <f t="shared" si="161"/>
        <v>0</v>
      </c>
      <c r="AQ317" s="32">
        <f t="shared" si="162"/>
        <v>42736</v>
      </c>
      <c r="AR317" s="32">
        <f t="shared" si="163"/>
        <v>42916</v>
      </c>
      <c r="AS317" s="52">
        <v>58</v>
      </c>
      <c r="AT317" s="1">
        <f t="shared" si="164"/>
        <v>0</v>
      </c>
      <c r="AU317" s="1">
        <f t="shared" si="165"/>
        <v>47</v>
      </c>
      <c r="AV317" s="1">
        <f t="shared" si="166"/>
        <v>0</v>
      </c>
      <c r="AW317" s="1">
        <f t="shared" si="167"/>
        <v>0</v>
      </c>
      <c r="AX317" s="1">
        <f t="shared" si="168"/>
        <v>0</v>
      </c>
      <c r="AY317" s="23">
        <f t="shared" si="169"/>
        <v>0.25966850828729282</v>
      </c>
      <c r="AZ317" s="23">
        <f t="shared" si="170"/>
        <v>0.19368321192713284</v>
      </c>
      <c r="BA317" s="23">
        <f t="shared" si="171"/>
        <v>11.233626291773705</v>
      </c>
      <c r="BB317" s="23">
        <f t="shared" si="172"/>
        <v>28.084065729434261</v>
      </c>
      <c r="BC317" s="23">
        <f t="shared" si="173"/>
        <v>0</v>
      </c>
      <c r="BD317" s="23">
        <f t="shared" si="174"/>
        <v>28.084065729434261</v>
      </c>
    </row>
    <row r="318" spans="1:56">
      <c r="A318" s="1" t="s">
        <v>20</v>
      </c>
      <c r="B318" s="1" t="s">
        <v>32</v>
      </c>
      <c r="C318" s="1" t="s">
        <v>22</v>
      </c>
      <c r="D318" s="1" t="s">
        <v>33</v>
      </c>
      <c r="E318" s="51" t="s">
        <v>107</v>
      </c>
      <c r="F318" s="51" t="s">
        <v>114</v>
      </c>
      <c r="G318" s="51" t="s">
        <v>109</v>
      </c>
      <c r="H318" s="51" t="s">
        <v>313</v>
      </c>
      <c r="I318" s="1" t="s">
        <v>116</v>
      </c>
      <c r="J318" s="51" t="s">
        <v>112</v>
      </c>
      <c r="K318" s="51" t="s">
        <v>112</v>
      </c>
      <c r="L318" s="51" t="s">
        <v>112</v>
      </c>
      <c r="M318" s="1">
        <v>2167303</v>
      </c>
      <c r="N318" s="52" t="s">
        <v>613</v>
      </c>
      <c r="O318" s="55">
        <f t="shared" si="176"/>
        <v>42870</v>
      </c>
      <c r="P318" s="55">
        <f>DATE(2020,6,12)</f>
        <v>43994</v>
      </c>
      <c r="Q318" s="51">
        <v>3220</v>
      </c>
      <c r="S318" s="51">
        <v>2.5</v>
      </c>
      <c r="U318" s="1">
        <f t="shared" si="145"/>
        <v>1125</v>
      </c>
      <c r="V318" s="31">
        <f t="shared" si="146"/>
        <v>2.862222222222222</v>
      </c>
      <c r="W318" s="31">
        <f t="shared" si="147"/>
        <v>1044.711111111111</v>
      </c>
      <c r="X318" s="31">
        <f t="shared" si="148"/>
        <v>1.3058888888888887</v>
      </c>
      <c r="AA318" s="32">
        <f t="shared" si="149"/>
        <v>42552</v>
      </c>
      <c r="AB318" s="32">
        <f t="shared" si="150"/>
        <v>42735</v>
      </c>
      <c r="AC318" s="49">
        <v>0</v>
      </c>
      <c r="AD318" s="1">
        <f t="shared" si="151"/>
        <v>0</v>
      </c>
      <c r="AE318" s="1">
        <f t="shared" si="152"/>
        <v>0</v>
      </c>
      <c r="AF318" s="1">
        <f t="shared" si="153"/>
        <v>0</v>
      </c>
      <c r="AG318" s="1">
        <f t="shared" si="154"/>
        <v>0</v>
      </c>
      <c r="AH318" s="1">
        <f t="shared" si="155"/>
        <v>0</v>
      </c>
      <c r="AI318" s="23">
        <f t="shared" si="156"/>
        <v>0</v>
      </c>
      <c r="AJ318" s="23">
        <f t="shared" si="157"/>
        <v>0</v>
      </c>
      <c r="AK318" s="23">
        <f t="shared" si="158"/>
        <v>0</v>
      </c>
      <c r="AL318" s="23">
        <f t="shared" si="159"/>
        <v>0</v>
      </c>
      <c r="AM318" s="23">
        <f t="shared" si="160"/>
        <v>0</v>
      </c>
      <c r="AN318" s="23">
        <f t="shared" si="161"/>
        <v>0</v>
      </c>
      <c r="AQ318" s="32">
        <f t="shared" si="162"/>
        <v>42736</v>
      </c>
      <c r="AR318" s="32">
        <f t="shared" si="163"/>
        <v>42916</v>
      </c>
      <c r="AS318" s="52">
        <v>40</v>
      </c>
      <c r="AT318" s="1">
        <f t="shared" si="164"/>
        <v>0</v>
      </c>
      <c r="AU318" s="1">
        <f t="shared" si="165"/>
        <v>47</v>
      </c>
      <c r="AV318" s="1">
        <f t="shared" si="166"/>
        <v>0</v>
      </c>
      <c r="AW318" s="1">
        <f t="shared" si="167"/>
        <v>0</v>
      </c>
      <c r="AX318" s="1">
        <f t="shared" si="168"/>
        <v>0</v>
      </c>
      <c r="AY318" s="23">
        <f t="shared" si="169"/>
        <v>0.25966850828729282</v>
      </c>
      <c r="AZ318" s="23">
        <f t="shared" si="170"/>
        <v>0.33909821976672799</v>
      </c>
      <c r="BA318" s="23">
        <f t="shared" si="171"/>
        <v>13.56392879066912</v>
      </c>
      <c r="BB318" s="23">
        <f t="shared" si="172"/>
        <v>33.909821976672802</v>
      </c>
      <c r="BC318" s="23">
        <f t="shared" si="173"/>
        <v>0</v>
      </c>
      <c r="BD318" s="23">
        <f t="shared" si="174"/>
        <v>33.909821976672802</v>
      </c>
    </row>
    <row r="319" spans="1:56">
      <c r="A319" s="1" t="s">
        <v>20</v>
      </c>
      <c r="B319" s="1" t="s">
        <v>32</v>
      </c>
      <c r="C319" s="1" t="s">
        <v>22</v>
      </c>
      <c r="D319" s="1" t="s">
        <v>33</v>
      </c>
      <c r="E319" s="51" t="s">
        <v>107</v>
      </c>
      <c r="F319" s="51" t="s">
        <v>108</v>
      </c>
      <c r="G319" s="51" t="s">
        <v>109</v>
      </c>
      <c r="H319" s="51" t="s">
        <v>277</v>
      </c>
      <c r="I319" s="1" t="s">
        <v>278</v>
      </c>
      <c r="J319" s="51" t="s">
        <v>112</v>
      </c>
      <c r="K319" s="51" t="s">
        <v>112</v>
      </c>
      <c r="L319" s="51" t="s">
        <v>112</v>
      </c>
      <c r="M319" s="1">
        <v>2167368</v>
      </c>
      <c r="N319" s="52" t="s">
        <v>614</v>
      </c>
      <c r="O319" s="55">
        <f t="shared" si="176"/>
        <v>42870</v>
      </c>
      <c r="P319" s="55">
        <f>DATE(2020,12,12)</f>
        <v>44177</v>
      </c>
      <c r="Q319" s="51">
        <v>3343</v>
      </c>
      <c r="S319" s="51">
        <v>1.5</v>
      </c>
      <c r="U319" s="1">
        <f t="shared" si="145"/>
        <v>1308</v>
      </c>
      <c r="V319" s="31">
        <f t="shared" si="146"/>
        <v>2.5558103975535169</v>
      </c>
      <c r="W319" s="31">
        <f t="shared" si="147"/>
        <v>932.8707951070337</v>
      </c>
      <c r="X319" s="31">
        <f t="shared" si="148"/>
        <v>1.1660884938837921</v>
      </c>
      <c r="AA319" s="32">
        <f t="shared" si="149"/>
        <v>42552</v>
      </c>
      <c r="AB319" s="32">
        <f t="shared" si="150"/>
        <v>42735</v>
      </c>
      <c r="AC319" s="49">
        <v>0</v>
      </c>
      <c r="AD319" s="1">
        <f t="shared" si="151"/>
        <v>0</v>
      </c>
      <c r="AE319" s="1">
        <f t="shared" si="152"/>
        <v>0</v>
      </c>
      <c r="AF319" s="1">
        <f t="shared" si="153"/>
        <v>0</v>
      </c>
      <c r="AG319" s="1">
        <f t="shared" si="154"/>
        <v>0</v>
      </c>
      <c r="AH319" s="1">
        <f t="shared" si="155"/>
        <v>0</v>
      </c>
      <c r="AI319" s="23">
        <f t="shared" si="156"/>
        <v>0</v>
      </c>
      <c r="AJ319" s="23">
        <f t="shared" si="157"/>
        <v>0</v>
      </c>
      <c r="AK319" s="23">
        <f t="shared" si="158"/>
        <v>0</v>
      </c>
      <c r="AL319" s="23">
        <f t="shared" si="159"/>
        <v>0</v>
      </c>
      <c r="AM319" s="23">
        <f t="shared" si="160"/>
        <v>0</v>
      </c>
      <c r="AN319" s="23">
        <f t="shared" si="161"/>
        <v>0</v>
      </c>
      <c r="AQ319" s="32">
        <f t="shared" si="162"/>
        <v>42736</v>
      </c>
      <c r="AR319" s="32">
        <f t="shared" si="163"/>
        <v>42916</v>
      </c>
      <c r="AS319" s="52">
        <v>27</v>
      </c>
      <c r="AT319" s="1">
        <f t="shared" si="164"/>
        <v>0</v>
      </c>
      <c r="AU319" s="1">
        <f t="shared" si="165"/>
        <v>47</v>
      </c>
      <c r="AV319" s="1">
        <f t="shared" si="166"/>
        <v>0</v>
      </c>
      <c r="AW319" s="1">
        <f t="shared" si="167"/>
        <v>0</v>
      </c>
      <c r="AX319" s="1">
        <f t="shared" si="168"/>
        <v>0</v>
      </c>
      <c r="AY319" s="23">
        <f t="shared" si="169"/>
        <v>0.25966850828729282</v>
      </c>
      <c r="AZ319" s="23">
        <f t="shared" si="170"/>
        <v>0.3027964597377803</v>
      </c>
      <c r="BA319" s="23">
        <f t="shared" si="171"/>
        <v>8.175504412920068</v>
      </c>
      <c r="BB319" s="23">
        <f t="shared" si="172"/>
        <v>12.263256619380101</v>
      </c>
      <c r="BC319" s="23">
        <f t="shared" si="173"/>
        <v>0</v>
      </c>
      <c r="BD319" s="23">
        <f t="shared" si="174"/>
        <v>12.263256619380101</v>
      </c>
    </row>
    <row r="320" spans="1:56">
      <c r="A320" s="1" t="s">
        <v>20</v>
      </c>
      <c r="B320" s="1" t="s">
        <v>32</v>
      </c>
      <c r="C320" s="1" t="s">
        <v>22</v>
      </c>
      <c r="D320" s="1" t="s">
        <v>33</v>
      </c>
      <c r="E320" s="51" t="s">
        <v>107</v>
      </c>
      <c r="F320" s="51" t="s">
        <v>108</v>
      </c>
      <c r="G320" s="51" t="s">
        <v>109</v>
      </c>
      <c r="H320" s="51" t="s">
        <v>615</v>
      </c>
      <c r="I320" s="1" t="s">
        <v>111</v>
      </c>
      <c r="J320" s="51" t="s">
        <v>112</v>
      </c>
      <c r="K320" s="51" t="s">
        <v>112</v>
      </c>
      <c r="L320" s="51" t="s">
        <v>112</v>
      </c>
      <c r="M320" s="1">
        <v>2167650</v>
      </c>
      <c r="N320" s="52" t="s">
        <v>616</v>
      </c>
      <c r="O320" s="55">
        <f t="shared" si="176"/>
        <v>42870</v>
      </c>
      <c r="P320" s="55">
        <f>DATE(2020,12,12)</f>
        <v>44177</v>
      </c>
      <c r="Q320" s="51">
        <v>1200</v>
      </c>
      <c r="S320" s="51">
        <v>1</v>
      </c>
      <c r="U320" s="1">
        <f t="shared" si="145"/>
        <v>1308</v>
      </c>
      <c r="V320" s="31">
        <f t="shared" si="146"/>
        <v>0.91743119266055051</v>
      </c>
      <c r="W320" s="31">
        <f t="shared" si="147"/>
        <v>334.86238532110093</v>
      </c>
      <c r="X320" s="31">
        <f t="shared" si="148"/>
        <v>0.41857798165137616</v>
      </c>
      <c r="AA320" s="32">
        <f t="shared" si="149"/>
        <v>42552</v>
      </c>
      <c r="AB320" s="32">
        <f t="shared" si="150"/>
        <v>42735</v>
      </c>
      <c r="AC320" s="49">
        <v>0</v>
      </c>
      <c r="AD320" s="1">
        <f t="shared" si="151"/>
        <v>0</v>
      </c>
      <c r="AE320" s="1">
        <f t="shared" si="152"/>
        <v>0</v>
      </c>
      <c r="AF320" s="1">
        <f t="shared" si="153"/>
        <v>0</v>
      </c>
      <c r="AG320" s="1">
        <f t="shared" si="154"/>
        <v>0</v>
      </c>
      <c r="AH320" s="1">
        <f t="shared" si="155"/>
        <v>0</v>
      </c>
      <c r="AI320" s="23">
        <f t="shared" si="156"/>
        <v>0</v>
      </c>
      <c r="AJ320" s="23">
        <f t="shared" si="157"/>
        <v>0</v>
      </c>
      <c r="AK320" s="23">
        <f t="shared" si="158"/>
        <v>0</v>
      </c>
      <c r="AL320" s="23">
        <f t="shared" si="159"/>
        <v>0</v>
      </c>
      <c r="AM320" s="23">
        <f t="shared" si="160"/>
        <v>0</v>
      </c>
      <c r="AN320" s="23">
        <f t="shared" si="161"/>
        <v>0</v>
      </c>
      <c r="AQ320" s="32">
        <f t="shared" si="162"/>
        <v>42736</v>
      </c>
      <c r="AR320" s="32">
        <f t="shared" si="163"/>
        <v>42916</v>
      </c>
      <c r="AS320" s="52">
        <v>49</v>
      </c>
      <c r="AT320" s="1">
        <f t="shared" si="164"/>
        <v>0</v>
      </c>
      <c r="AU320" s="1">
        <f t="shared" si="165"/>
        <v>47</v>
      </c>
      <c r="AV320" s="1">
        <f t="shared" si="166"/>
        <v>0</v>
      </c>
      <c r="AW320" s="1">
        <f t="shared" si="167"/>
        <v>0</v>
      </c>
      <c r="AX320" s="1">
        <f t="shared" si="168"/>
        <v>0</v>
      </c>
      <c r="AY320" s="23">
        <f t="shared" si="169"/>
        <v>0.25966850828729282</v>
      </c>
      <c r="AZ320" s="23">
        <f t="shared" si="170"/>
        <v>0.10869152009731867</v>
      </c>
      <c r="BA320" s="23">
        <f t="shared" si="171"/>
        <v>5.3258844847686149</v>
      </c>
      <c r="BB320" s="23">
        <f t="shared" si="172"/>
        <v>5.3258844847686149</v>
      </c>
      <c r="BC320" s="23">
        <f t="shared" si="173"/>
        <v>0</v>
      </c>
      <c r="BD320" s="23">
        <f t="shared" si="174"/>
        <v>5.3258844847686149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53"/>
  <sheetViews>
    <sheetView topLeftCell="J26" workbookViewId="0">
      <selection activeCell="N50" sqref="N50:O52"/>
    </sheetView>
  </sheetViews>
  <sheetFormatPr defaultRowHeight="15"/>
  <cols>
    <col min="1" max="1" width="4" style="1" customWidth="1"/>
    <col min="2" max="2" width="16.5703125" style="1" customWidth="1"/>
    <col min="3" max="3" width="8.42578125" style="1" customWidth="1"/>
    <col min="4" max="4" width="24.42578125" style="1" customWidth="1"/>
    <col min="5" max="5" width="21" style="1" customWidth="1"/>
    <col min="6" max="6" width="15.28515625" style="1" customWidth="1"/>
    <col min="7" max="7" width="11" style="1" customWidth="1"/>
    <col min="8" max="8" width="44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3" style="32" customWidth="1"/>
    <col min="17" max="17" width="9.28515625" style="1" customWidth="1"/>
    <col min="18" max="18" width="6" style="1" customWidth="1"/>
    <col min="19" max="19" width="10.140625" style="1" customWidth="1"/>
    <col min="20" max="20" width="2.7109375" style="1" customWidth="1"/>
    <col min="21" max="21" width="10.7109375" style="1" customWidth="1"/>
    <col min="22" max="22" width="10.42578125" style="31" customWidth="1"/>
    <col min="23" max="23" width="13.28515625" style="31" customWidth="1"/>
    <col min="24" max="24" width="11" style="31" customWidth="1"/>
    <col min="25" max="25" width="2.5703125" style="31" customWidth="1"/>
    <col min="26" max="26" width="10.42578125" style="31" customWidth="1"/>
    <col min="27" max="27" width="12.5703125" style="32" customWidth="1"/>
    <col min="28" max="28" width="14.28515625" style="32" customWidth="1"/>
    <col min="29" max="29" width="8.7109375" style="1" customWidth="1"/>
    <col min="30" max="30" width="10.7109375" style="1" customWidth="1"/>
    <col min="31" max="31" width="7.5703125" style="1" customWidth="1"/>
    <col min="32" max="32" width="5.7109375" style="1" customWidth="1"/>
    <col min="33" max="33" width="7.85546875" style="1" customWidth="1"/>
    <col min="34" max="34" width="7.7109375" style="1" customWidth="1"/>
    <col min="35" max="35" width="11.7109375" style="23" customWidth="1"/>
    <col min="36" max="36" width="12.42578125" style="23" customWidth="1"/>
    <col min="37" max="37" width="12.140625" style="23" customWidth="1"/>
    <col min="38" max="38" width="10.5703125" style="23" customWidth="1"/>
    <col min="39" max="39" width="9.28515625" style="23" customWidth="1"/>
    <col min="40" max="40" width="10.7109375" style="23" customWidth="1"/>
    <col min="41" max="41" width="3.140625" style="23" customWidth="1"/>
    <col min="42" max="42" width="12" style="23" customWidth="1"/>
    <col min="43" max="43" width="10.85546875" style="32" customWidth="1"/>
    <col min="44" max="44" width="11.5703125" style="32" customWidth="1"/>
    <col min="45" max="45" width="8.2851562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34</v>
      </c>
      <c r="C4" s="1" t="s">
        <v>22</v>
      </c>
      <c r="D4" s="1" t="s">
        <v>35</v>
      </c>
      <c r="E4" s="51" t="s">
        <v>107</v>
      </c>
      <c r="F4" s="51" t="s">
        <v>108</v>
      </c>
      <c r="G4" s="51" t="s">
        <v>109</v>
      </c>
      <c r="H4" s="1" t="s">
        <v>124</v>
      </c>
      <c r="I4" s="1" t="s">
        <v>125</v>
      </c>
      <c r="J4" s="51" t="s">
        <v>112</v>
      </c>
      <c r="K4" s="51" t="s">
        <v>112</v>
      </c>
      <c r="L4" s="51" t="s">
        <v>112</v>
      </c>
      <c r="M4" s="1">
        <v>810334</v>
      </c>
      <c r="N4" s="56" t="s">
        <v>280</v>
      </c>
      <c r="O4" s="55">
        <f>DATE(2011,2,14)</f>
        <v>40588</v>
      </c>
      <c r="P4" s="55">
        <f>DATE(2014,6,30)</f>
        <v>41820</v>
      </c>
      <c r="Q4" s="51">
        <v>3600</v>
      </c>
      <c r="S4" s="51">
        <v>2.5</v>
      </c>
      <c r="U4" s="1">
        <f t="shared" ref="U4:U35" si="0">P4-O4+1</f>
        <v>1233</v>
      </c>
      <c r="V4" s="31">
        <f t="shared" ref="V4:V35" si="1">Q4/U4</f>
        <v>2.9197080291970803</v>
      </c>
      <c r="W4" s="31">
        <f t="shared" ref="W4:W35" si="2">IF(U4&gt;365,V4*365,Q4)</f>
        <v>1065.6934306569342</v>
      </c>
      <c r="X4" s="31">
        <f t="shared" ref="X4:X35" si="3">IF(U4&gt;365,W4/800,Q4/800)</f>
        <v>1.3321167883211678</v>
      </c>
      <c r="AA4" s="32">
        <f t="shared" ref="AA4:AA35" si="4">DATE(2016,7,1)</f>
        <v>42552</v>
      </c>
      <c r="AB4" s="32">
        <f t="shared" ref="AB4:AB35" si="5">DATE(2016,12,31)</f>
        <v>42735</v>
      </c>
      <c r="AC4" s="50">
        <v>7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0.66605839416058388</v>
      </c>
      <c r="AK4" s="23">
        <f t="shared" ref="AK4:AK35" si="13">IF(AH4=0,AJ4*AC4,IF(AA4-P4&gt;1095,0,AJ4*(AC4/2)))</f>
        <v>2.3312043795620436</v>
      </c>
      <c r="AL4" s="23">
        <f t="shared" ref="AL4:AL35" si="14">AK4*S4</f>
        <v>5.8280109489051091</v>
      </c>
      <c r="AM4" s="23">
        <f t="shared" ref="AM4:AM35" si="15">IF(J4="SIM",AL4*50%,0)</f>
        <v>0</v>
      </c>
      <c r="AN4" s="23">
        <f t="shared" ref="AN4:AN35" si="16">AL4+AM4</f>
        <v>5.8280109489051091</v>
      </c>
      <c r="AQ4" s="32">
        <f t="shared" ref="AQ4:AQ35" si="17">DATE(2017,1,1)</f>
        <v>42736</v>
      </c>
      <c r="AR4" s="32">
        <f t="shared" ref="AR4:AR35" si="18">DATE(2017,6,30)</f>
        <v>42916</v>
      </c>
      <c r="AS4" s="56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0.66605839416058388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34</v>
      </c>
      <c r="C5" s="1" t="s">
        <v>22</v>
      </c>
      <c r="D5" s="1" t="s">
        <v>35</v>
      </c>
      <c r="E5" s="51" t="s">
        <v>107</v>
      </c>
      <c r="F5" s="51" t="s">
        <v>108</v>
      </c>
      <c r="G5" s="51" t="s">
        <v>109</v>
      </c>
      <c r="H5" s="1" t="s">
        <v>146</v>
      </c>
      <c r="I5" s="1" t="s">
        <v>147</v>
      </c>
      <c r="J5" s="51" t="s">
        <v>148</v>
      </c>
      <c r="K5" s="51" t="s">
        <v>112</v>
      </c>
      <c r="L5" s="51" t="s">
        <v>112</v>
      </c>
      <c r="M5" s="1">
        <v>810338</v>
      </c>
      <c r="N5" s="56" t="s">
        <v>617</v>
      </c>
      <c r="O5" s="55">
        <f>DATE(2011,2,14)</f>
        <v>40588</v>
      </c>
      <c r="P5" s="55">
        <f>DATE(2014,6,30)</f>
        <v>41820</v>
      </c>
      <c r="Q5" s="51">
        <v>3165</v>
      </c>
      <c r="S5" s="51">
        <v>2.5</v>
      </c>
      <c r="U5" s="1">
        <f t="shared" si="0"/>
        <v>1233</v>
      </c>
      <c r="V5" s="31">
        <f t="shared" si="1"/>
        <v>2.5669099756690996</v>
      </c>
      <c r="W5" s="31">
        <f t="shared" si="2"/>
        <v>936.92214111922135</v>
      </c>
      <c r="X5" s="31">
        <f t="shared" si="3"/>
        <v>1.1711526763990268</v>
      </c>
      <c r="AA5" s="32">
        <f t="shared" si="4"/>
        <v>42552</v>
      </c>
      <c r="AB5" s="32">
        <f t="shared" si="5"/>
        <v>42735</v>
      </c>
      <c r="AC5" s="50">
        <v>2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0.58557633819951338</v>
      </c>
      <c r="AK5" s="23">
        <f t="shared" si="13"/>
        <v>0.58557633819951338</v>
      </c>
      <c r="AL5" s="23">
        <f t="shared" si="14"/>
        <v>1.4639408454987834</v>
      </c>
      <c r="AM5" s="23">
        <f t="shared" si="15"/>
        <v>0.73197042274939172</v>
      </c>
      <c r="AN5" s="23">
        <f t="shared" si="16"/>
        <v>2.1959112682481754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0.58557633819951338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34</v>
      </c>
      <c r="C6" s="1" t="s">
        <v>22</v>
      </c>
      <c r="D6" s="1" t="s">
        <v>35</v>
      </c>
      <c r="E6" s="51" t="s">
        <v>107</v>
      </c>
      <c r="F6" s="51" t="s">
        <v>108</v>
      </c>
      <c r="G6" s="51" t="s">
        <v>109</v>
      </c>
      <c r="H6" s="1" t="s">
        <v>618</v>
      </c>
      <c r="I6" s="1" t="s">
        <v>214</v>
      </c>
      <c r="J6" s="51" t="s">
        <v>112</v>
      </c>
      <c r="K6" s="51" t="s">
        <v>112</v>
      </c>
      <c r="L6" s="51" t="s">
        <v>112</v>
      </c>
      <c r="M6" s="1">
        <v>1849846</v>
      </c>
      <c r="N6" s="50" t="s">
        <v>619</v>
      </c>
      <c r="O6" s="55">
        <f>DATE(2012,4,2)</f>
        <v>41001</v>
      </c>
      <c r="P6" s="55">
        <f>DATE(2015,10,30)</f>
        <v>42307</v>
      </c>
      <c r="Q6" s="51">
        <v>3580</v>
      </c>
      <c r="S6" s="51">
        <v>2</v>
      </c>
      <c r="U6" s="1">
        <f t="shared" si="0"/>
        <v>1307</v>
      </c>
      <c r="V6" s="31">
        <f t="shared" si="1"/>
        <v>2.7390971690895181</v>
      </c>
      <c r="W6" s="31">
        <f t="shared" si="2"/>
        <v>999.77046671767414</v>
      </c>
      <c r="X6" s="31">
        <f t="shared" si="3"/>
        <v>1.2497130833970926</v>
      </c>
      <c r="AA6" s="32">
        <f t="shared" si="4"/>
        <v>42552</v>
      </c>
      <c r="AB6" s="32">
        <f t="shared" si="5"/>
        <v>42735</v>
      </c>
      <c r="AC6" s="50">
        <v>35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0.62485654169854632</v>
      </c>
      <c r="AK6" s="23">
        <f t="shared" si="13"/>
        <v>10.93498947972456</v>
      </c>
      <c r="AL6" s="23">
        <f t="shared" si="14"/>
        <v>21.869978959449121</v>
      </c>
      <c r="AM6" s="23">
        <f t="shared" si="15"/>
        <v>0</v>
      </c>
      <c r="AN6" s="23">
        <f t="shared" si="16"/>
        <v>21.869978959449121</v>
      </c>
      <c r="AQ6" s="32">
        <f t="shared" si="17"/>
        <v>42736</v>
      </c>
      <c r="AR6" s="32">
        <f t="shared" si="18"/>
        <v>42916</v>
      </c>
      <c r="AS6" s="50">
        <v>35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0.62485654169854632</v>
      </c>
      <c r="BA6" s="23">
        <f t="shared" si="26"/>
        <v>10.93498947972456</v>
      </c>
      <c r="BB6" s="23">
        <f t="shared" si="27"/>
        <v>21.869978959449121</v>
      </c>
      <c r="BC6" s="23">
        <f t="shared" si="28"/>
        <v>0</v>
      </c>
      <c r="BD6" s="23">
        <f t="shared" si="29"/>
        <v>21.869978959449121</v>
      </c>
    </row>
    <row r="7" spans="1:57">
      <c r="A7" s="1" t="s">
        <v>20</v>
      </c>
      <c r="B7" s="1" t="s">
        <v>34</v>
      </c>
      <c r="C7" s="1" t="s">
        <v>22</v>
      </c>
      <c r="D7" s="1" t="s">
        <v>35</v>
      </c>
      <c r="E7" s="51" t="s">
        <v>107</v>
      </c>
      <c r="F7" s="51" t="s">
        <v>294</v>
      </c>
      <c r="G7" s="51" t="s">
        <v>109</v>
      </c>
      <c r="H7" s="1" t="s">
        <v>620</v>
      </c>
      <c r="I7" s="1" t="s">
        <v>147</v>
      </c>
      <c r="J7" s="51" t="s">
        <v>148</v>
      </c>
      <c r="K7" s="51" t="s">
        <v>112</v>
      </c>
      <c r="L7" s="51" t="s">
        <v>112</v>
      </c>
      <c r="M7" s="1">
        <v>1946126</v>
      </c>
      <c r="N7" s="51" t="s">
        <v>621</v>
      </c>
      <c r="O7" s="55">
        <f>DATE(2014,2,24)</f>
        <v>41694</v>
      </c>
      <c r="P7" s="55">
        <f>DATE(2017,6,29)</f>
        <v>42915</v>
      </c>
      <c r="Q7" s="51">
        <v>2780</v>
      </c>
      <c r="S7" s="51">
        <v>2.5</v>
      </c>
      <c r="U7" s="1">
        <f t="shared" si="0"/>
        <v>1222</v>
      </c>
      <c r="V7" s="31">
        <f t="shared" si="1"/>
        <v>2.2749590834697218</v>
      </c>
      <c r="W7" s="31">
        <f t="shared" si="2"/>
        <v>830.36006546644842</v>
      </c>
      <c r="X7" s="31">
        <f t="shared" si="3"/>
        <v>1.0379500818330605</v>
      </c>
      <c r="AA7" s="32">
        <f t="shared" si="4"/>
        <v>42552</v>
      </c>
      <c r="AB7" s="32">
        <f t="shared" si="5"/>
        <v>42735</v>
      </c>
      <c r="AC7" s="51">
        <v>35</v>
      </c>
      <c r="AD7" s="1">
        <f t="shared" si="6"/>
        <v>184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1.0379500818330605</v>
      </c>
      <c r="AK7" s="23">
        <f t="shared" si="13"/>
        <v>36.328252864157115</v>
      </c>
      <c r="AL7" s="23">
        <f t="shared" si="14"/>
        <v>90.82063216039279</v>
      </c>
      <c r="AM7" s="23">
        <f t="shared" si="15"/>
        <v>45.410316080196395</v>
      </c>
      <c r="AN7" s="23">
        <f t="shared" si="16"/>
        <v>136.23094824058919</v>
      </c>
      <c r="AQ7" s="32">
        <f t="shared" si="17"/>
        <v>42736</v>
      </c>
      <c r="AR7" s="32">
        <f t="shared" si="18"/>
        <v>42916</v>
      </c>
      <c r="AS7" s="51">
        <v>35</v>
      </c>
      <c r="AT7" s="1">
        <f t="shared" si="19"/>
        <v>0</v>
      </c>
      <c r="AU7" s="1">
        <f t="shared" si="20"/>
        <v>0</v>
      </c>
      <c r="AV7" s="1">
        <f t="shared" si="21"/>
        <v>180</v>
      </c>
      <c r="AW7" s="1">
        <f t="shared" si="22"/>
        <v>0</v>
      </c>
      <c r="AX7" s="1">
        <f t="shared" si="23"/>
        <v>0</v>
      </c>
      <c r="AY7" s="23">
        <f t="shared" si="24"/>
        <v>0.99447513812154698</v>
      </c>
      <c r="AZ7" s="23">
        <f t="shared" si="25"/>
        <v>1.0322155509942037</v>
      </c>
      <c r="BA7" s="23">
        <f t="shared" si="26"/>
        <v>36.127544284797132</v>
      </c>
      <c r="BB7" s="23">
        <f t="shared" si="27"/>
        <v>90.318860711992826</v>
      </c>
      <c r="BC7" s="23">
        <f t="shared" si="28"/>
        <v>45.159430355996413</v>
      </c>
      <c r="BD7" s="23">
        <f t="shared" si="29"/>
        <v>135.47829106798923</v>
      </c>
    </row>
    <row r="8" spans="1:57">
      <c r="A8" s="1" t="s">
        <v>20</v>
      </c>
      <c r="B8" s="1" t="s">
        <v>34</v>
      </c>
      <c r="C8" s="1" t="s">
        <v>22</v>
      </c>
      <c r="D8" s="1" t="s">
        <v>35</v>
      </c>
      <c r="E8" s="51" t="s">
        <v>154</v>
      </c>
      <c r="F8" s="51" t="s">
        <v>108</v>
      </c>
      <c r="G8" s="51" t="s">
        <v>109</v>
      </c>
      <c r="H8" s="1" t="s">
        <v>213</v>
      </c>
      <c r="I8" s="1" t="s">
        <v>214</v>
      </c>
      <c r="J8" s="51" t="s">
        <v>112</v>
      </c>
      <c r="K8" s="51" t="s">
        <v>112</v>
      </c>
      <c r="L8" s="51" t="s">
        <v>148</v>
      </c>
      <c r="M8" s="1">
        <v>1946627</v>
      </c>
      <c r="N8" s="50" t="s">
        <v>622</v>
      </c>
      <c r="O8" s="55">
        <f>DATE(2014,3,1)</f>
        <v>41699</v>
      </c>
      <c r="P8" s="55">
        <f>DATE(2014,12,31)</f>
        <v>42004</v>
      </c>
      <c r="Q8" s="51">
        <v>800</v>
      </c>
      <c r="S8" s="51">
        <v>1.5</v>
      </c>
      <c r="U8" s="1">
        <f t="shared" si="0"/>
        <v>306</v>
      </c>
      <c r="V8" s="31">
        <f t="shared" si="1"/>
        <v>2.6143790849673203</v>
      </c>
      <c r="W8" s="31">
        <f t="shared" si="2"/>
        <v>800</v>
      </c>
      <c r="X8" s="31">
        <f t="shared" si="3"/>
        <v>1</v>
      </c>
      <c r="AA8" s="32">
        <f t="shared" si="4"/>
        <v>42552</v>
      </c>
      <c r="AB8" s="32">
        <f t="shared" si="5"/>
        <v>42735</v>
      </c>
      <c r="AC8" s="50">
        <v>62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</v>
      </c>
      <c r="AK8" s="23">
        <f t="shared" si="13"/>
        <v>15.5</v>
      </c>
      <c r="AL8" s="23">
        <f t="shared" si="14"/>
        <v>23.25</v>
      </c>
      <c r="AM8" s="23">
        <f t="shared" si="15"/>
        <v>0</v>
      </c>
      <c r="AN8" s="23">
        <f t="shared" si="16"/>
        <v>23.25</v>
      </c>
      <c r="AQ8" s="32">
        <f t="shared" si="17"/>
        <v>42736</v>
      </c>
      <c r="AR8" s="32">
        <f t="shared" si="18"/>
        <v>42916</v>
      </c>
      <c r="AS8" s="50">
        <v>62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</v>
      </c>
      <c r="BA8" s="23">
        <f t="shared" si="26"/>
        <v>15.5</v>
      </c>
      <c r="BB8" s="23">
        <f t="shared" si="27"/>
        <v>23.25</v>
      </c>
      <c r="BC8" s="23">
        <f t="shared" si="28"/>
        <v>0</v>
      </c>
      <c r="BD8" s="23">
        <f t="shared" si="29"/>
        <v>23.25</v>
      </c>
    </row>
    <row r="9" spans="1:57">
      <c r="A9" s="1" t="s">
        <v>20</v>
      </c>
      <c r="B9" s="1" t="s">
        <v>34</v>
      </c>
      <c r="C9" s="1" t="s">
        <v>22</v>
      </c>
      <c r="D9" s="1" t="s">
        <v>35</v>
      </c>
      <c r="E9" s="51" t="s">
        <v>154</v>
      </c>
      <c r="F9" s="51" t="s">
        <v>108</v>
      </c>
      <c r="G9" s="51" t="s">
        <v>109</v>
      </c>
      <c r="H9" s="1" t="s">
        <v>110</v>
      </c>
      <c r="I9" s="1" t="s">
        <v>111</v>
      </c>
      <c r="J9" s="51" t="s">
        <v>112</v>
      </c>
      <c r="K9" s="51" t="s">
        <v>112</v>
      </c>
      <c r="L9" s="51" t="s">
        <v>148</v>
      </c>
      <c r="M9" s="1">
        <v>1946630</v>
      </c>
      <c r="N9" s="50" t="s">
        <v>160</v>
      </c>
      <c r="O9" s="55">
        <f>DATE(2012,3,1)</f>
        <v>40969</v>
      </c>
      <c r="P9" s="55">
        <f>DATE(2014,12,31)</f>
        <v>42004</v>
      </c>
      <c r="Q9" s="51">
        <v>1000</v>
      </c>
      <c r="S9" s="51">
        <v>2</v>
      </c>
      <c r="U9" s="1">
        <f t="shared" si="0"/>
        <v>1036</v>
      </c>
      <c r="V9" s="31">
        <f t="shared" si="1"/>
        <v>0.96525096525096521</v>
      </c>
      <c r="W9" s="31">
        <f t="shared" si="2"/>
        <v>352.31660231660231</v>
      </c>
      <c r="X9" s="31">
        <f t="shared" si="3"/>
        <v>0.44039575289575289</v>
      </c>
      <c r="AA9" s="32">
        <f t="shared" si="4"/>
        <v>42552</v>
      </c>
      <c r="AB9" s="32">
        <f t="shared" si="5"/>
        <v>42735</v>
      </c>
      <c r="AC9" s="50">
        <v>50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0.22019787644787644</v>
      </c>
      <c r="AK9" s="23">
        <f t="shared" si="13"/>
        <v>5.5049469111969112</v>
      </c>
      <c r="AL9" s="23">
        <f t="shared" si="14"/>
        <v>11.009893822393822</v>
      </c>
      <c r="AM9" s="23">
        <f t="shared" si="15"/>
        <v>0</v>
      </c>
      <c r="AN9" s="23">
        <f t="shared" si="16"/>
        <v>11.009893822393822</v>
      </c>
      <c r="AQ9" s="32">
        <f t="shared" si="17"/>
        <v>42736</v>
      </c>
      <c r="AR9" s="32">
        <f t="shared" si="18"/>
        <v>42916</v>
      </c>
      <c r="AS9" s="50">
        <v>50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0.22019787644787644</v>
      </c>
      <c r="BA9" s="23">
        <f t="shared" si="26"/>
        <v>5.5049469111969112</v>
      </c>
      <c r="BB9" s="23">
        <f t="shared" si="27"/>
        <v>11.009893822393822</v>
      </c>
      <c r="BC9" s="23">
        <f t="shared" si="28"/>
        <v>0</v>
      </c>
      <c r="BD9" s="23">
        <f t="shared" si="29"/>
        <v>11.009893822393822</v>
      </c>
    </row>
    <row r="10" spans="1:57">
      <c r="A10" s="1" t="s">
        <v>20</v>
      </c>
      <c r="B10" s="1" t="s">
        <v>34</v>
      </c>
      <c r="C10" s="1" t="s">
        <v>22</v>
      </c>
      <c r="D10" s="1" t="s">
        <v>35</v>
      </c>
      <c r="E10" s="51" t="s">
        <v>154</v>
      </c>
      <c r="F10" s="51" t="s">
        <v>108</v>
      </c>
      <c r="G10" s="51" t="s">
        <v>109</v>
      </c>
      <c r="H10" s="1" t="s">
        <v>179</v>
      </c>
      <c r="I10" s="1" t="s">
        <v>125</v>
      </c>
      <c r="J10" s="51" t="s">
        <v>112</v>
      </c>
      <c r="K10" s="51" t="s">
        <v>112</v>
      </c>
      <c r="L10" s="51" t="s">
        <v>148</v>
      </c>
      <c r="M10" s="1">
        <v>1946631</v>
      </c>
      <c r="N10" s="50" t="s">
        <v>445</v>
      </c>
      <c r="O10" s="55">
        <f>DATE(2012,3,1)</f>
        <v>40969</v>
      </c>
      <c r="P10" s="55">
        <f>DATE(2014,12,31)</f>
        <v>42004</v>
      </c>
      <c r="Q10" s="51">
        <v>1200</v>
      </c>
      <c r="S10" s="51">
        <v>2</v>
      </c>
      <c r="U10" s="1">
        <f t="shared" si="0"/>
        <v>1036</v>
      </c>
      <c r="V10" s="31">
        <f t="shared" si="1"/>
        <v>1.1583011583011582</v>
      </c>
      <c r="W10" s="31">
        <f t="shared" si="2"/>
        <v>422.77992277992274</v>
      </c>
      <c r="X10" s="31">
        <f t="shared" si="3"/>
        <v>0.52847490347490345</v>
      </c>
      <c r="AA10" s="32">
        <f t="shared" si="4"/>
        <v>42552</v>
      </c>
      <c r="AB10" s="32">
        <f t="shared" si="5"/>
        <v>42735</v>
      </c>
      <c r="AC10" s="50">
        <v>45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0.26423745173745172</v>
      </c>
      <c r="AK10" s="23">
        <f t="shared" si="13"/>
        <v>5.9453426640926637</v>
      </c>
      <c r="AL10" s="23">
        <f t="shared" si="14"/>
        <v>11.890685328185327</v>
      </c>
      <c r="AM10" s="23">
        <f t="shared" si="15"/>
        <v>0</v>
      </c>
      <c r="AN10" s="23">
        <f t="shared" si="16"/>
        <v>11.890685328185327</v>
      </c>
      <c r="AQ10" s="32">
        <f t="shared" si="17"/>
        <v>42736</v>
      </c>
      <c r="AR10" s="32">
        <f t="shared" si="18"/>
        <v>42916</v>
      </c>
      <c r="AS10" s="50">
        <v>45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0.26423745173745172</v>
      </c>
      <c r="BA10" s="23">
        <f t="shared" si="26"/>
        <v>5.9453426640926637</v>
      </c>
      <c r="BB10" s="23">
        <f t="shared" si="27"/>
        <v>11.890685328185327</v>
      </c>
      <c r="BC10" s="23">
        <f t="shared" si="28"/>
        <v>0</v>
      </c>
      <c r="BD10" s="23">
        <f t="shared" si="29"/>
        <v>11.890685328185327</v>
      </c>
    </row>
    <row r="11" spans="1:57">
      <c r="A11" s="1" t="s">
        <v>20</v>
      </c>
      <c r="B11" s="1" t="s">
        <v>34</v>
      </c>
      <c r="C11" s="1" t="s">
        <v>22</v>
      </c>
      <c r="D11" s="1" t="s">
        <v>35</v>
      </c>
      <c r="E11" s="51" t="s">
        <v>154</v>
      </c>
      <c r="F11" s="51" t="s">
        <v>108</v>
      </c>
      <c r="G11" s="51" t="s">
        <v>109</v>
      </c>
      <c r="H11" s="1" t="s">
        <v>110</v>
      </c>
      <c r="I11" s="1" t="s">
        <v>111</v>
      </c>
      <c r="J11" s="51" t="s">
        <v>112</v>
      </c>
      <c r="K11" s="51" t="s">
        <v>112</v>
      </c>
      <c r="L11" s="51" t="s">
        <v>148</v>
      </c>
      <c r="M11" s="1">
        <v>1946632</v>
      </c>
      <c r="N11" s="50" t="s">
        <v>160</v>
      </c>
      <c r="O11" s="55">
        <f>DATE(2012,3,1)</f>
        <v>40969</v>
      </c>
      <c r="P11" s="55">
        <f>DATE(2014,12,31)</f>
        <v>42004</v>
      </c>
      <c r="Q11" s="51">
        <v>1000</v>
      </c>
      <c r="S11" s="51">
        <v>2</v>
      </c>
      <c r="U11" s="1">
        <f t="shared" si="0"/>
        <v>1036</v>
      </c>
      <c r="V11" s="31">
        <f t="shared" si="1"/>
        <v>0.96525096525096521</v>
      </c>
      <c r="W11" s="31">
        <f t="shared" si="2"/>
        <v>352.31660231660231</v>
      </c>
      <c r="X11" s="31">
        <f t="shared" si="3"/>
        <v>0.44039575289575289</v>
      </c>
      <c r="AA11" s="32">
        <f t="shared" si="4"/>
        <v>42552</v>
      </c>
      <c r="AB11" s="32">
        <f t="shared" si="5"/>
        <v>42735</v>
      </c>
      <c r="AC11" s="50">
        <v>50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0.22019787644787644</v>
      </c>
      <c r="AK11" s="23">
        <f t="shared" si="13"/>
        <v>5.5049469111969112</v>
      </c>
      <c r="AL11" s="23">
        <f t="shared" si="14"/>
        <v>11.009893822393822</v>
      </c>
      <c r="AM11" s="23">
        <f t="shared" si="15"/>
        <v>0</v>
      </c>
      <c r="AN11" s="23">
        <f t="shared" si="16"/>
        <v>11.009893822393822</v>
      </c>
      <c r="AQ11" s="32">
        <f t="shared" si="17"/>
        <v>42736</v>
      </c>
      <c r="AR11" s="32">
        <f t="shared" si="18"/>
        <v>42916</v>
      </c>
      <c r="AS11" s="50">
        <v>50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0.22019787644787644</v>
      </c>
      <c r="BA11" s="23">
        <f t="shared" si="26"/>
        <v>5.5049469111969112</v>
      </c>
      <c r="BB11" s="23">
        <f t="shared" si="27"/>
        <v>11.009893822393822</v>
      </c>
      <c r="BC11" s="23">
        <f t="shared" si="28"/>
        <v>0</v>
      </c>
      <c r="BD11" s="23">
        <f t="shared" si="29"/>
        <v>11.009893822393822</v>
      </c>
    </row>
    <row r="12" spans="1:57">
      <c r="A12" s="48" t="s">
        <v>20</v>
      </c>
      <c r="B12" s="1" t="s">
        <v>34</v>
      </c>
      <c r="C12" s="1" t="s">
        <v>22</v>
      </c>
      <c r="D12" s="1" t="s">
        <v>35</v>
      </c>
      <c r="E12" s="51" t="s">
        <v>154</v>
      </c>
      <c r="F12" s="51" t="s">
        <v>108</v>
      </c>
      <c r="G12" s="51" t="s">
        <v>109</v>
      </c>
      <c r="H12" s="1" t="s">
        <v>179</v>
      </c>
      <c r="I12" s="1" t="s">
        <v>125</v>
      </c>
      <c r="J12" s="51" t="s">
        <v>112</v>
      </c>
      <c r="K12" s="51" t="s">
        <v>112</v>
      </c>
      <c r="L12" s="51" t="s">
        <v>148</v>
      </c>
      <c r="M12" s="1">
        <v>1946634</v>
      </c>
      <c r="N12" s="50" t="s">
        <v>445</v>
      </c>
      <c r="O12" s="55">
        <f>DATE(2012,3,1)</f>
        <v>40969</v>
      </c>
      <c r="P12" s="55">
        <f>DATE(2014,12,31)</f>
        <v>42004</v>
      </c>
      <c r="Q12" s="51">
        <v>1200</v>
      </c>
      <c r="S12" s="51">
        <v>2</v>
      </c>
      <c r="U12" s="1">
        <f t="shared" si="0"/>
        <v>1036</v>
      </c>
      <c r="V12" s="31">
        <f t="shared" si="1"/>
        <v>1.1583011583011582</v>
      </c>
      <c r="W12" s="31">
        <f t="shared" si="2"/>
        <v>422.77992277992274</v>
      </c>
      <c r="X12" s="31">
        <f t="shared" si="3"/>
        <v>0.52847490347490345</v>
      </c>
      <c r="AA12" s="32">
        <f t="shared" si="4"/>
        <v>42552</v>
      </c>
      <c r="AB12" s="32">
        <f t="shared" si="5"/>
        <v>42735</v>
      </c>
      <c r="AC12" s="50">
        <v>47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0.26423745173745172</v>
      </c>
      <c r="AK12" s="23">
        <f t="shared" si="13"/>
        <v>6.2095801158301152</v>
      </c>
      <c r="AL12" s="23">
        <f t="shared" si="14"/>
        <v>12.41916023166023</v>
      </c>
      <c r="AM12" s="23">
        <f t="shared" si="15"/>
        <v>0</v>
      </c>
      <c r="AN12" s="23">
        <f t="shared" si="16"/>
        <v>12.41916023166023</v>
      </c>
      <c r="AQ12" s="32">
        <f t="shared" si="17"/>
        <v>42736</v>
      </c>
      <c r="AR12" s="32">
        <f t="shared" si="18"/>
        <v>42916</v>
      </c>
      <c r="AS12" s="50">
        <v>47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0.26423745173745172</v>
      </c>
      <c r="BA12" s="23">
        <f t="shared" si="26"/>
        <v>6.2095801158301152</v>
      </c>
      <c r="BB12" s="23">
        <f t="shared" si="27"/>
        <v>12.41916023166023</v>
      </c>
      <c r="BC12" s="23">
        <f t="shared" si="28"/>
        <v>0</v>
      </c>
      <c r="BD12" s="23">
        <f t="shared" si="29"/>
        <v>12.41916023166023</v>
      </c>
    </row>
    <row r="13" spans="1:57">
      <c r="A13" s="1" t="s">
        <v>20</v>
      </c>
      <c r="B13" s="1" t="s">
        <v>34</v>
      </c>
      <c r="C13" s="1" t="s">
        <v>22</v>
      </c>
      <c r="D13" s="1" t="s">
        <v>35</v>
      </c>
      <c r="E13" s="51" t="s">
        <v>154</v>
      </c>
      <c r="F13" s="51" t="s">
        <v>108</v>
      </c>
      <c r="G13" s="51" t="s">
        <v>109</v>
      </c>
      <c r="H13" s="1" t="s">
        <v>224</v>
      </c>
      <c r="I13" s="1" t="s">
        <v>167</v>
      </c>
      <c r="J13" s="51" t="s">
        <v>112</v>
      </c>
      <c r="K13" s="51" t="s">
        <v>112</v>
      </c>
      <c r="L13" s="51" t="s">
        <v>148</v>
      </c>
      <c r="M13" s="1">
        <v>1976053</v>
      </c>
      <c r="N13" s="50" t="s">
        <v>623</v>
      </c>
      <c r="O13" s="55">
        <f>DATE(2014,10,1)</f>
        <v>41913</v>
      </c>
      <c r="P13" s="55">
        <f>DATE(2016,11,30)</f>
        <v>42704</v>
      </c>
      <c r="Q13" s="51">
        <v>1680</v>
      </c>
      <c r="S13" s="51">
        <v>1</v>
      </c>
      <c r="U13" s="1">
        <f t="shared" si="0"/>
        <v>792</v>
      </c>
      <c r="V13" s="31">
        <f t="shared" si="1"/>
        <v>2.1212121212121211</v>
      </c>
      <c r="W13" s="31">
        <f t="shared" si="2"/>
        <v>774.24242424242425</v>
      </c>
      <c r="X13" s="31">
        <f t="shared" si="3"/>
        <v>0.96780303030303028</v>
      </c>
      <c r="AA13" s="32">
        <f t="shared" si="4"/>
        <v>42552</v>
      </c>
      <c r="AB13" s="32">
        <f t="shared" si="5"/>
        <v>42735</v>
      </c>
      <c r="AC13" s="50">
        <v>28</v>
      </c>
      <c r="AD13" s="1">
        <f t="shared" si="6"/>
        <v>0</v>
      </c>
      <c r="AE13" s="1">
        <f t="shared" si="7"/>
        <v>0</v>
      </c>
      <c r="AF13" s="1">
        <f t="shared" si="8"/>
        <v>153</v>
      </c>
      <c r="AG13" s="1">
        <f t="shared" si="9"/>
        <v>0</v>
      </c>
      <c r="AH13" s="1">
        <f t="shared" si="10"/>
        <v>0</v>
      </c>
      <c r="AI13" s="23">
        <f t="shared" si="11"/>
        <v>0.83152173913043481</v>
      </c>
      <c r="AJ13" s="23">
        <f t="shared" si="12"/>
        <v>0.80474925889328064</v>
      </c>
      <c r="AK13" s="23">
        <f t="shared" si="13"/>
        <v>22.532979249011859</v>
      </c>
      <c r="AL13" s="23">
        <f t="shared" si="14"/>
        <v>22.532979249011859</v>
      </c>
      <c r="AM13" s="23">
        <f t="shared" si="15"/>
        <v>0</v>
      </c>
      <c r="AN13" s="23">
        <f t="shared" si="16"/>
        <v>22.532979249011859</v>
      </c>
      <c r="AQ13" s="32">
        <f t="shared" si="17"/>
        <v>42736</v>
      </c>
      <c r="AR13" s="32">
        <f t="shared" si="18"/>
        <v>42916</v>
      </c>
      <c r="AS13" s="50">
        <v>22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0.48390151515151514</v>
      </c>
      <c r="BA13" s="23">
        <f t="shared" si="26"/>
        <v>5.3229166666666661</v>
      </c>
      <c r="BB13" s="23">
        <f t="shared" si="27"/>
        <v>5.3229166666666661</v>
      </c>
      <c r="BC13" s="23">
        <f t="shared" si="28"/>
        <v>0</v>
      </c>
      <c r="BD13" s="23">
        <f t="shared" si="29"/>
        <v>5.3229166666666661</v>
      </c>
    </row>
    <row r="14" spans="1:57">
      <c r="A14" s="1" t="s">
        <v>20</v>
      </c>
      <c r="B14" s="1" t="s">
        <v>34</v>
      </c>
      <c r="C14" s="1" t="s">
        <v>22</v>
      </c>
      <c r="D14" s="1" t="s">
        <v>35</v>
      </c>
      <c r="E14" s="51" t="s">
        <v>107</v>
      </c>
      <c r="F14" s="51" t="s">
        <v>294</v>
      </c>
      <c r="G14" s="51" t="s">
        <v>109</v>
      </c>
      <c r="H14" s="1" t="s">
        <v>624</v>
      </c>
      <c r="I14" s="1" t="s">
        <v>234</v>
      </c>
      <c r="J14" s="51" t="s">
        <v>112</v>
      </c>
      <c r="K14" s="51" t="s">
        <v>112</v>
      </c>
      <c r="L14" s="51" t="s">
        <v>112</v>
      </c>
      <c r="M14" s="1">
        <v>1978110</v>
      </c>
      <c r="N14" s="51" t="s">
        <v>625</v>
      </c>
      <c r="O14" s="55">
        <f>DATE(2014,2,24)</f>
        <v>41694</v>
      </c>
      <c r="P14" s="55">
        <f>DATE(2017,1,26)</f>
        <v>42761</v>
      </c>
      <c r="Q14" s="51">
        <v>2600</v>
      </c>
      <c r="S14" s="51">
        <v>1</v>
      </c>
      <c r="U14" s="1">
        <f t="shared" si="0"/>
        <v>1068</v>
      </c>
      <c r="V14" s="31">
        <f t="shared" si="1"/>
        <v>2.4344569288389515</v>
      </c>
      <c r="W14" s="31">
        <f t="shared" si="2"/>
        <v>888.57677902621731</v>
      </c>
      <c r="X14" s="31">
        <f t="shared" si="3"/>
        <v>1.1107209737827717</v>
      </c>
      <c r="AA14" s="32">
        <f t="shared" si="4"/>
        <v>42552</v>
      </c>
      <c r="AB14" s="32">
        <f t="shared" si="5"/>
        <v>42735</v>
      </c>
      <c r="AC14" s="51">
        <v>27</v>
      </c>
      <c r="AD14" s="1">
        <f t="shared" si="6"/>
        <v>184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0</v>
      </c>
      <c r="AI14" s="23">
        <f t="shared" si="11"/>
        <v>1</v>
      </c>
      <c r="AJ14" s="23">
        <f t="shared" si="12"/>
        <v>1.1107209737827717</v>
      </c>
      <c r="AK14" s="23">
        <f t="shared" si="13"/>
        <v>29.989466292134836</v>
      </c>
      <c r="AL14" s="23">
        <f t="shared" si="14"/>
        <v>29.989466292134836</v>
      </c>
      <c r="AM14" s="23">
        <f t="shared" si="15"/>
        <v>0</v>
      </c>
      <c r="AN14" s="23">
        <f t="shared" si="16"/>
        <v>29.989466292134836</v>
      </c>
      <c r="AQ14" s="32">
        <f t="shared" si="17"/>
        <v>42736</v>
      </c>
      <c r="AR14" s="32">
        <f t="shared" si="18"/>
        <v>42916</v>
      </c>
      <c r="AS14" s="51">
        <v>27</v>
      </c>
      <c r="AT14" s="1">
        <f t="shared" si="19"/>
        <v>0</v>
      </c>
      <c r="AU14" s="1">
        <f t="shared" si="20"/>
        <v>0</v>
      </c>
      <c r="AV14" s="1">
        <f t="shared" si="21"/>
        <v>26</v>
      </c>
      <c r="AW14" s="1">
        <f t="shared" si="22"/>
        <v>0</v>
      </c>
      <c r="AX14" s="1">
        <f t="shared" si="23"/>
        <v>0</v>
      </c>
      <c r="AY14" s="23">
        <f t="shared" si="24"/>
        <v>0.143646408839779</v>
      </c>
      <c r="AZ14" s="23">
        <f t="shared" si="25"/>
        <v>0.15955107910691746</v>
      </c>
      <c r="BA14" s="23">
        <f t="shared" si="26"/>
        <v>4.3078791358867718</v>
      </c>
      <c r="BB14" s="23">
        <f t="shared" si="27"/>
        <v>4.3078791358867718</v>
      </c>
      <c r="BC14" s="23">
        <f t="shared" si="28"/>
        <v>0</v>
      </c>
      <c r="BD14" s="23">
        <f t="shared" si="29"/>
        <v>4.3078791358867718</v>
      </c>
    </row>
    <row r="15" spans="1:57">
      <c r="A15" s="1" t="s">
        <v>20</v>
      </c>
      <c r="B15" s="1" t="s">
        <v>34</v>
      </c>
      <c r="C15" s="1" t="s">
        <v>22</v>
      </c>
      <c r="D15" s="1" t="s">
        <v>35</v>
      </c>
      <c r="E15" s="51" t="s">
        <v>107</v>
      </c>
      <c r="F15" s="51" t="s">
        <v>114</v>
      </c>
      <c r="G15" s="51" t="s">
        <v>109</v>
      </c>
      <c r="H15" s="1" t="s">
        <v>152</v>
      </c>
      <c r="I15" s="1" t="s">
        <v>147</v>
      </c>
      <c r="J15" s="51" t="s">
        <v>112</v>
      </c>
      <c r="K15" s="51" t="s">
        <v>112</v>
      </c>
      <c r="L15" s="51" t="s">
        <v>112</v>
      </c>
      <c r="M15" s="1">
        <v>1978118</v>
      </c>
      <c r="N15" s="51" t="s">
        <v>626</v>
      </c>
      <c r="O15" s="55">
        <f>DATE(2014,2,24)</f>
        <v>41694</v>
      </c>
      <c r="P15" s="55">
        <f>DATE(2017,3,3)</f>
        <v>42797</v>
      </c>
      <c r="Q15" s="51">
        <v>3240</v>
      </c>
      <c r="S15" s="51">
        <v>2.5</v>
      </c>
      <c r="U15" s="1">
        <f t="shared" si="0"/>
        <v>1104</v>
      </c>
      <c r="V15" s="31">
        <f t="shared" si="1"/>
        <v>2.9347826086956523</v>
      </c>
      <c r="W15" s="31">
        <f t="shared" si="2"/>
        <v>1071.195652173913</v>
      </c>
      <c r="X15" s="31">
        <f t="shared" si="3"/>
        <v>1.3389945652173914</v>
      </c>
      <c r="AA15" s="32">
        <f t="shared" si="4"/>
        <v>42552</v>
      </c>
      <c r="AB15" s="32">
        <f t="shared" si="5"/>
        <v>42735</v>
      </c>
      <c r="AC15" s="51">
        <v>35</v>
      </c>
      <c r="AD15" s="1">
        <f t="shared" si="6"/>
        <v>184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0</v>
      </c>
      <c r="AI15" s="23">
        <f t="shared" si="11"/>
        <v>1</v>
      </c>
      <c r="AJ15" s="23">
        <f t="shared" si="12"/>
        <v>1.3389945652173914</v>
      </c>
      <c r="AK15" s="23">
        <f t="shared" si="13"/>
        <v>46.864809782608695</v>
      </c>
      <c r="AL15" s="23">
        <f t="shared" si="14"/>
        <v>117.16202445652173</v>
      </c>
      <c r="AM15" s="23">
        <f t="shared" si="15"/>
        <v>0</v>
      </c>
      <c r="AN15" s="23">
        <f t="shared" si="16"/>
        <v>117.16202445652173</v>
      </c>
      <c r="AQ15" s="32">
        <f t="shared" si="17"/>
        <v>42736</v>
      </c>
      <c r="AR15" s="32">
        <f t="shared" si="18"/>
        <v>42916</v>
      </c>
      <c r="AS15" s="51">
        <v>35</v>
      </c>
      <c r="AT15" s="1">
        <f t="shared" si="19"/>
        <v>0</v>
      </c>
      <c r="AU15" s="1">
        <f t="shared" si="20"/>
        <v>0</v>
      </c>
      <c r="AV15" s="1">
        <f t="shared" si="21"/>
        <v>62</v>
      </c>
      <c r="AW15" s="1">
        <f t="shared" si="22"/>
        <v>0</v>
      </c>
      <c r="AX15" s="1">
        <f t="shared" si="23"/>
        <v>0</v>
      </c>
      <c r="AY15" s="23">
        <f t="shared" si="24"/>
        <v>0.34254143646408841</v>
      </c>
      <c r="AZ15" s="23">
        <f t="shared" si="25"/>
        <v>0.45866112178717272</v>
      </c>
      <c r="BA15" s="23">
        <f t="shared" si="26"/>
        <v>16.053139262551046</v>
      </c>
      <c r="BB15" s="23">
        <f t="shared" si="27"/>
        <v>40.132848156377612</v>
      </c>
      <c r="BC15" s="23">
        <f t="shared" si="28"/>
        <v>0</v>
      </c>
      <c r="BD15" s="23">
        <f t="shared" si="29"/>
        <v>40.132848156377612</v>
      </c>
    </row>
    <row r="16" spans="1:57">
      <c r="A16" s="1" t="s">
        <v>20</v>
      </c>
      <c r="B16" s="1" t="s">
        <v>34</v>
      </c>
      <c r="C16" s="1" t="s">
        <v>22</v>
      </c>
      <c r="D16" s="1" t="s">
        <v>35</v>
      </c>
      <c r="E16" s="51" t="s">
        <v>107</v>
      </c>
      <c r="F16" s="51" t="s">
        <v>294</v>
      </c>
      <c r="G16" s="51" t="s">
        <v>109</v>
      </c>
      <c r="H16" s="1" t="s">
        <v>620</v>
      </c>
      <c r="I16" s="1" t="s">
        <v>147</v>
      </c>
      <c r="J16" s="51" t="s">
        <v>148</v>
      </c>
      <c r="K16" s="51" t="s">
        <v>112</v>
      </c>
      <c r="L16" s="51" t="s">
        <v>112</v>
      </c>
      <c r="M16" s="1">
        <v>1979096</v>
      </c>
      <c r="N16" s="50" t="s">
        <v>627</v>
      </c>
      <c r="O16" s="55">
        <f>DATE(2013,3,18)</f>
        <v>41351</v>
      </c>
      <c r="P16" s="55">
        <f>DATE(2016,4,30)</f>
        <v>42490</v>
      </c>
      <c r="Q16" s="51">
        <v>2960</v>
      </c>
      <c r="S16" s="51">
        <v>2.5</v>
      </c>
      <c r="U16" s="1">
        <f t="shared" si="0"/>
        <v>1140</v>
      </c>
      <c r="V16" s="31">
        <f t="shared" si="1"/>
        <v>2.5964912280701755</v>
      </c>
      <c r="W16" s="31">
        <f t="shared" si="2"/>
        <v>947.71929824561403</v>
      </c>
      <c r="X16" s="31">
        <f t="shared" si="3"/>
        <v>1.1846491228070175</v>
      </c>
      <c r="AA16" s="32">
        <f t="shared" si="4"/>
        <v>42552</v>
      </c>
      <c r="AB16" s="32">
        <f t="shared" si="5"/>
        <v>42735</v>
      </c>
      <c r="AC16" s="50">
        <v>36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0.59232456140350875</v>
      </c>
      <c r="AK16" s="23">
        <f t="shared" si="13"/>
        <v>10.661842105263158</v>
      </c>
      <c r="AL16" s="23">
        <f t="shared" si="14"/>
        <v>26.654605263157897</v>
      </c>
      <c r="AM16" s="23">
        <f t="shared" si="15"/>
        <v>13.327302631578949</v>
      </c>
      <c r="AN16" s="23">
        <f t="shared" si="16"/>
        <v>39.98190789473685</v>
      </c>
      <c r="AQ16" s="32">
        <f t="shared" si="17"/>
        <v>42736</v>
      </c>
      <c r="AR16" s="32">
        <f t="shared" si="18"/>
        <v>42916</v>
      </c>
      <c r="AS16" s="50">
        <v>36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0.59232456140350875</v>
      </c>
      <c r="BA16" s="23">
        <f t="shared" si="26"/>
        <v>10.661842105263158</v>
      </c>
      <c r="BB16" s="23">
        <f t="shared" si="27"/>
        <v>26.654605263157897</v>
      </c>
      <c r="BC16" s="23">
        <f t="shared" si="28"/>
        <v>13.327302631578949</v>
      </c>
      <c r="BD16" s="23">
        <f t="shared" si="29"/>
        <v>39.98190789473685</v>
      </c>
    </row>
    <row r="17" spans="1:56">
      <c r="A17" s="1" t="s">
        <v>20</v>
      </c>
      <c r="B17" s="1" t="s">
        <v>34</v>
      </c>
      <c r="C17" s="1" t="s">
        <v>22</v>
      </c>
      <c r="D17" s="1" t="s">
        <v>35</v>
      </c>
      <c r="E17" s="51" t="s">
        <v>107</v>
      </c>
      <c r="F17" s="51" t="s">
        <v>294</v>
      </c>
      <c r="G17" s="51" t="s">
        <v>109</v>
      </c>
      <c r="H17" s="1" t="s">
        <v>624</v>
      </c>
      <c r="I17" s="1" t="s">
        <v>234</v>
      </c>
      <c r="J17" s="51" t="s">
        <v>112</v>
      </c>
      <c r="K17" s="51" t="s">
        <v>112</v>
      </c>
      <c r="L17" s="51" t="s">
        <v>112</v>
      </c>
      <c r="M17" s="1">
        <v>1979100</v>
      </c>
      <c r="N17" s="50" t="s">
        <v>628</v>
      </c>
      <c r="O17" s="55">
        <f>DATE(2013,3,25)</f>
        <v>41358</v>
      </c>
      <c r="P17" s="55">
        <f>DATE(2016,3,4)</f>
        <v>42433</v>
      </c>
      <c r="Q17" s="51">
        <v>2600</v>
      </c>
      <c r="S17" s="51">
        <v>1</v>
      </c>
      <c r="U17" s="1">
        <f t="shared" si="0"/>
        <v>1076</v>
      </c>
      <c r="V17" s="31">
        <f t="shared" si="1"/>
        <v>2.4163568773234201</v>
      </c>
      <c r="W17" s="31">
        <f t="shared" si="2"/>
        <v>881.97026022304829</v>
      </c>
      <c r="X17" s="31">
        <f t="shared" si="3"/>
        <v>1.1024628252788105</v>
      </c>
      <c r="AA17" s="32">
        <f t="shared" si="4"/>
        <v>42552</v>
      </c>
      <c r="AB17" s="32">
        <f t="shared" si="5"/>
        <v>42735</v>
      </c>
      <c r="AC17" s="50">
        <v>36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0.55123141263940523</v>
      </c>
      <c r="AK17" s="23">
        <f t="shared" si="13"/>
        <v>9.9221654275092934</v>
      </c>
      <c r="AL17" s="23">
        <f t="shared" si="14"/>
        <v>9.9221654275092934</v>
      </c>
      <c r="AM17" s="23">
        <f t="shared" si="15"/>
        <v>0</v>
      </c>
      <c r="AN17" s="23">
        <f t="shared" si="16"/>
        <v>9.9221654275092934</v>
      </c>
      <c r="AQ17" s="32">
        <f t="shared" si="17"/>
        <v>42736</v>
      </c>
      <c r="AR17" s="32">
        <f t="shared" si="18"/>
        <v>42916</v>
      </c>
      <c r="AS17" s="50">
        <v>34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0.55123141263940523</v>
      </c>
      <c r="BA17" s="23">
        <f t="shared" si="26"/>
        <v>9.3709340148698885</v>
      </c>
      <c r="BB17" s="23">
        <f t="shared" si="27"/>
        <v>9.3709340148698885</v>
      </c>
      <c r="BC17" s="23">
        <f t="shared" si="28"/>
        <v>0</v>
      </c>
      <c r="BD17" s="23">
        <f t="shared" si="29"/>
        <v>9.3709340148698885</v>
      </c>
    </row>
    <row r="18" spans="1:56">
      <c r="A18" s="1" t="s">
        <v>20</v>
      </c>
      <c r="B18" s="1" t="s">
        <v>34</v>
      </c>
      <c r="C18" s="1" t="s">
        <v>22</v>
      </c>
      <c r="D18" s="1" t="s">
        <v>35</v>
      </c>
      <c r="E18" s="51" t="s">
        <v>107</v>
      </c>
      <c r="F18" s="51" t="s">
        <v>108</v>
      </c>
      <c r="G18" s="51" t="s">
        <v>109</v>
      </c>
      <c r="H18" s="1" t="s">
        <v>618</v>
      </c>
      <c r="I18" s="1" t="s">
        <v>214</v>
      </c>
      <c r="J18" s="51" t="s">
        <v>112</v>
      </c>
      <c r="K18" s="51" t="s">
        <v>112</v>
      </c>
      <c r="L18" s="51" t="s">
        <v>112</v>
      </c>
      <c r="M18" s="1">
        <v>1979108</v>
      </c>
      <c r="N18" s="50" t="s">
        <v>629</v>
      </c>
      <c r="O18" s="55">
        <f>DATE(2011,4,11)</f>
        <v>40644</v>
      </c>
      <c r="P18" s="55">
        <f>DATE(2015,3,31)</f>
        <v>42094</v>
      </c>
      <c r="Q18" s="51">
        <v>3145</v>
      </c>
      <c r="S18" s="51">
        <v>2</v>
      </c>
      <c r="U18" s="1">
        <f t="shared" si="0"/>
        <v>1451</v>
      </c>
      <c r="V18" s="31">
        <f t="shared" si="1"/>
        <v>2.1674707098552721</v>
      </c>
      <c r="W18" s="31">
        <f t="shared" si="2"/>
        <v>791.12680909717437</v>
      </c>
      <c r="X18" s="31">
        <f t="shared" si="3"/>
        <v>0.98890851137146796</v>
      </c>
      <c r="AA18" s="32">
        <f t="shared" si="4"/>
        <v>42552</v>
      </c>
      <c r="AB18" s="32">
        <f t="shared" si="5"/>
        <v>42735</v>
      </c>
      <c r="AC18" s="50">
        <v>15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0.49445425568573398</v>
      </c>
      <c r="AK18" s="23">
        <f t="shared" si="13"/>
        <v>3.7084069176430048</v>
      </c>
      <c r="AL18" s="23">
        <f t="shared" si="14"/>
        <v>7.4168138352860096</v>
      </c>
      <c r="AM18" s="23">
        <f t="shared" si="15"/>
        <v>0</v>
      </c>
      <c r="AN18" s="23">
        <f t="shared" si="16"/>
        <v>7.4168138352860096</v>
      </c>
      <c r="AQ18" s="32">
        <f t="shared" si="17"/>
        <v>42736</v>
      </c>
      <c r="AR18" s="32">
        <f t="shared" si="18"/>
        <v>42916</v>
      </c>
      <c r="AS18" s="50">
        <v>15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0.49445425568573398</v>
      </c>
      <c r="BA18" s="23">
        <f t="shared" si="26"/>
        <v>3.7084069176430048</v>
      </c>
      <c r="BB18" s="23">
        <f t="shared" si="27"/>
        <v>7.4168138352860096</v>
      </c>
      <c r="BC18" s="23">
        <f t="shared" si="28"/>
        <v>0</v>
      </c>
      <c r="BD18" s="23">
        <f t="shared" si="29"/>
        <v>7.4168138352860096</v>
      </c>
    </row>
    <row r="19" spans="1:56">
      <c r="A19" s="1" t="s">
        <v>20</v>
      </c>
      <c r="B19" s="1" t="s">
        <v>34</v>
      </c>
      <c r="C19" s="1" t="s">
        <v>22</v>
      </c>
      <c r="D19" s="1" t="s">
        <v>35</v>
      </c>
      <c r="E19" s="51" t="s">
        <v>107</v>
      </c>
      <c r="F19" s="51" t="s">
        <v>108</v>
      </c>
      <c r="G19" s="51" t="s">
        <v>109</v>
      </c>
      <c r="H19" s="1" t="s">
        <v>618</v>
      </c>
      <c r="I19" s="1" t="s">
        <v>214</v>
      </c>
      <c r="J19" s="51" t="s">
        <v>112</v>
      </c>
      <c r="K19" s="51" t="s">
        <v>112</v>
      </c>
      <c r="L19" s="51" t="s">
        <v>112</v>
      </c>
      <c r="M19" s="1">
        <v>1979110</v>
      </c>
      <c r="N19" s="56" t="s">
        <v>630</v>
      </c>
      <c r="O19" s="55">
        <f>DATE(2011,10,1)</f>
        <v>40817</v>
      </c>
      <c r="P19" s="55">
        <f>DATE(2014,5,30)</f>
        <v>41789</v>
      </c>
      <c r="Q19" s="51">
        <v>1180</v>
      </c>
      <c r="S19" s="51">
        <v>2</v>
      </c>
      <c r="U19" s="1">
        <f t="shared" si="0"/>
        <v>973</v>
      </c>
      <c r="V19" s="31">
        <f t="shared" si="1"/>
        <v>1.2127440904419322</v>
      </c>
      <c r="W19" s="31">
        <f t="shared" si="2"/>
        <v>442.65159301130524</v>
      </c>
      <c r="X19" s="31">
        <f t="shared" si="3"/>
        <v>0.55331449126413157</v>
      </c>
      <c r="AA19" s="32">
        <f t="shared" si="4"/>
        <v>42552</v>
      </c>
      <c r="AB19" s="32">
        <f t="shared" si="5"/>
        <v>42735</v>
      </c>
      <c r="AC19" s="50">
        <v>19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0.27665724563206578</v>
      </c>
      <c r="AK19" s="23">
        <f t="shared" si="13"/>
        <v>2.6282438335046248</v>
      </c>
      <c r="AL19" s="23">
        <f t="shared" si="14"/>
        <v>5.2564876670092495</v>
      </c>
      <c r="AM19" s="23">
        <f t="shared" si="15"/>
        <v>0</v>
      </c>
      <c r="AN19" s="23">
        <f t="shared" si="16"/>
        <v>5.2564876670092495</v>
      </c>
      <c r="AQ19" s="32">
        <f t="shared" si="17"/>
        <v>42736</v>
      </c>
      <c r="AR19" s="32">
        <f t="shared" si="18"/>
        <v>42916</v>
      </c>
      <c r="AS19" s="56">
        <v>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0.27665724563206578</v>
      </c>
      <c r="BA19" s="23">
        <f t="shared" si="26"/>
        <v>0</v>
      </c>
      <c r="BB19" s="23">
        <f t="shared" si="27"/>
        <v>0</v>
      </c>
      <c r="BC19" s="23">
        <f t="shared" si="28"/>
        <v>0</v>
      </c>
      <c r="BD19" s="23">
        <f t="shared" si="29"/>
        <v>0</v>
      </c>
    </row>
    <row r="20" spans="1:56">
      <c r="A20" s="1" t="s">
        <v>20</v>
      </c>
      <c r="B20" s="1" t="s">
        <v>34</v>
      </c>
      <c r="C20" s="1" t="s">
        <v>22</v>
      </c>
      <c r="D20" s="1" t="s">
        <v>35</v>
      </c>
      <c r="E20" s="51" t="s">
        <v>107</v>
      </c>
      <c r="F20" s="51" t="s">
        <v>108</v>
      </c>
      <c r="G20" s="51" t="s">
        <v>109</v>
      </c>
      <c r="H20" s="1" t="s">
        <v>618</v>
      </c>
      <c r="I20" s="1" t="s">
        <v>214</v>
      </c>
      <c r="J20" s="51" t="s">
        <v>112</v>
      </c>
      <c r="K20" s="51" t="s">
        <v>112</v>
      </c>
      <c r="L20" s="51" t="s">
        <v>112</v>
      </c>
      <c r="M20" s="1">
        <v>1979111</v>
      </c>
      <c r="N20" s="50" t="s">
        <v>631</v>
      </c>
      <c r="O20" s="55">
        <f>DATE(2013,8,1)</f>
        <v>41487</v>
      </c>
      <c r="P20" s="55">
        <f>DATE(2015,6,5)</f>
        <v>42160</v>
      </c>
      <c r="Q20" s="51">
        <v>1180</v>
      </c>
      <c r="S20" s="51">
        <v>2</v>
      </c>
      <c r="U20" s="1">
        <f t="shared" si="0"/>
        <v>674</v>
      </c>
      <c r="V20" s="31">
        <f t="shared" si="1"/>
        <v>1.7507418397626113</v>
      </c>
      <c r="W20" s="31">
        <f t="shared" si="2"/>
        <v>639.02077151335311</v>
      </c>
      <c r="X20" s="31">
        <f t="shared" si="3"/>
        <v>0.79877596439169141</v>
      </c>
      <c r="AA20" s="32">
        <f t="shared" si="4"/>
        <v>42552</v>
      </c>
      <c r="AB20" s="32">
        <f t="shared" si="5"/>
        <v>42735</v>
      </c>
      <c r="AC20" s="50">
        <v>33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0.3993879821958457</v>
      </c>
      <c r="AK20" s="23">
        <f t="shared" si="13"/>
        <v>6.589901706231454</v>
      </c>
      <c r="AL20" s="23">
        <f t="shared" si="14"/>
        <v>13.179803412462908</v>
      </c>
      <c r="AM20" s="23">
        <f t="shared" si="15"/>
        <v>0</v>
      </c>
      <c r="AN20" s="23">
        <f t="shared" si="16"/>
        <v>13.179803412462908</v>
      </c>
      <c r="AQ20" s="32">
        <f t="shared" si="17"/>
        <v>42736</v>
      </c>
      <c r="AR20" s="32">
        <f t="shared" si="18"/>
        <v>42916</v>
      </c>
      <c r="AS20" s="50">
        <v>32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0.3993879821958457</v>
      </c>
      <c r="BA20" s="23">
        <f t="shared" si="26"/>
        <v>6.3902077151335313</v>
      </c>
      <c r="BB20" s="23">
        <f t="shared" si="27"/>
        <v>12.780415430267063</v>
      </c>
      <c r="BC20" s="23">
        <f t="shared" si="28"/>
        <v>0</v>
      </c>
      <c r="BD20" s="23">
        <f t="shared" si="29"/>
        <v>12.780415430267063</v>
      </c>
    </row>
    <row r="21" spans="1:56">
      <c r="A21" s="1" t="s">
        <v>20</v>
      </c>
      <c r="B21" s="1" t="s">
        <v>34</v>
      </c>
      <c r="C21" s="1" t="s">
        <v>22</v>
      </c>
      <c r="D21" s="1" t="s">
        <v>35</v>
      </c>
      <c r="E21" s="51" t="s">
        <v>107</v>
      </c>
      <c r="F21" s="51" t="s">
        <v>108</v>
      </c>
      <c r="G21" s="51" t="s">
        <v>109</v>
      </c>
      <c r="H21" s="1" t="s">
        <v>124</v>
      </c>
      <c r="I21" s="1" t="s">
        <v>125</v>
      </c>
      <c r="J21" s="51" t="s">
        <v>112</v>
      </c>
      <c r="K21" s="51" t="s">
        <v>112</v>
      </c>
      <c r="L21" s="51" t="s">
        <v>112</v>
      </c>
      <c r="M21" s="1">
        <v>1979112</v>
      </c>
      <c r="N21" s="50" t="s">
        <v>632</v>
      </c>
      <c r="O21" s="55">
        <f>DATE(2013,3,4)</f>
        <v>41337</v>
      </c>
      <c r="P21" s="55">
        <f>DATE(2016,10,14)</f>
        <v>42657</v>
      </c>
      <c r="Q21" s="51">
        <v>3620</v>
      </c>
      <c r="S21" s="51">
        <v>2.5</v>
      </c>
      <c r="U21" s="1">
        <f t="shared" si="0"/>
        <v>1321</v>
      </c>
      <c r="V21" s="31">
        <f t="shared" si="1"/>
        <v>2.740348221044663</v>
      </c>
      <c r="W21" s="31">
        <f t="shared" si="2"/>
        <v>1000.227100681302</v>
      </c>
      <c r="X21" s="31">
        <f t="shared" si="3"/>
        <v>1.2502838758516275</v>
      </c>
      <c r="AA21" s="32">
        <f t="shared" si="4"/>
        <v>42552</v>
      </c>
      <c r="AB21" s="32">
        <f t="shared" si="5"/>
        <v>42735</v>
      </c>
      <c r="AC21" s="50">
        <v>35</v>
      </c>
      <c r="AD21" s="1">
        <f t="shared" si="6"/>
        <v>0</v>
      </c>
      <c r="AE21" s="1">
        <f t="shared" si="7"/>
        <v>0</v>
      </c>
      <c r="AF21" s="1">
        <f t="shared" si="8"/>
        <v>106</v>
      </c>
      <c r="AG21" s="1">
        <f t="shared" si="9"/>
        <v>0</v>
      </c>
      <c r="AH21" s="1">
        <f t="shared" si="10"/>
        <v>0</v>
      </c>
      <c r="AI21" s="23">
        <f t="shared" si="11"/>
        <v>0.57608695652173914</v>
      </c>
      <c r="AJ21" s="23">
        <f t="shared" si="12"/>
        <v>0.72027223282756803</v>
      </c>
      <c r="AK21" s="23">
        <f t="shared" si="13"/>
        <v>25.209528148964882</v>
      </c>
      <c r="AL21" s="23">
        <f t="shared" si="14"/>
        <v>63.023820372412203</v>
      </c>
      <c r="AM21" s="23">
        <f t="shared" si="15"/>
        <v>0</v>
      </c>
      <c r="AN21" s="23">
        <f t="shared" si="16"/>
        <v>63.023820372412203</v>
      </c>
      <c r="AQ21" s="32">
        <f t="shared" si="17"/>
        <v>42736</v>
      </c>
      <c r="AR21" s="32">
        <f t="shared" si="18"/>
        <v>42916</v>
      </c>
      <c r="AS21" s="50">
        <v>35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0.62514193792581374</v>
      </c>
      <c r="BA21" s="23">
        <f t="shared" si="26"/>
        <v>10.93998391370174</v>
      </c>
      <c r="BB21" s="23">
        <f t="shared" si="27"/>
        <v>27.349959784254349</v>
      </c>
      <c r="BC21" s="23">
        <f t="shared" si="28"/>
        <v>0</v>
      </c>
      <c r="BD21" s="23">
        <f t="shared" si="29"/>
        <v>27.349959784254349</v>
      </c>
    </row>
    <row r="22" spans="1:56">
      <c r="A22" s="1" t="s">
        <v>20</v>
      </c>
      <c r="B22" s="1" t="s">
        <v>34</v>
      </c>
      <c r="C22" s="1" t="s">
        <v>22</v>
      </c>
      <c r="D22" s="1" t="s">
        <v>35</v>
      </c>
      <c r="E22" s="51" t="s">
        <v>107</v>
      </c>
      <c r="F22" s="51" t="s">
        <v>108</v>
      </c>
      <c r="G22" s="51" t="s">
        <v>109</v>
      </c>
      <c r="H22" s="1" t="s">
        <v>124</v>
      </c>
      <c r="I22" s="1" t="s">
        <v>125</v>
      </c>
      <c r="J22" s="51" t="s">
        <v>112</v>
      </c>
      <c r="K22" s="51" t="s">
        <v>112</v>
      </c>
      <c r="L22" s="51" t="s">
        <v>112</v>
      </c>
      <c r="M22" s="1">
        <v>1979113</v>
      </c>
      <c r="N22" s="50" t="s">
        <v>633</v>
      </c>
      <c r="O22" s="55">
        <f>DATE(2012,3,5)</f>
        <v>40973</v>
      </c>
      <c r="P22" s="55">
        <f>DATE(2014,10,30)</f>
        <v>41942</v>
      </c>
      <c r="Q22" s="51">
        <v>3620</v>
      </c>
      <c r="S22" s="51">
        <v>2.5</v>
      </c>
      <c r="U22" s="1">
        <f t="shared" si="0"/>
        <v>970</v>
      </c>
      <c r="V22" s="31">
        <f t="shared" si="1"/>
        <v>3.731958762886598</v>
      </c>
      <c r="W22" s="31">
        <f t="shared" si="2"/>
        <v>1362.1649484536083</v>
      </c>
      <c r="X22" s="31">
        <f t="shared" si="3"/>
        <v>1.7027061855670105</v>
      </c>
      <c r="AA22" s="32">
        <f t="shared" si="4"/>
        <v>42552</v>
      </c>
      <c r="AB22" s="32">
        <f t="shared" si="5"/>
        <v>42735</v>
      </c>
      <c r="AC22" s="50">
        <v>22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0.85135309278350524</v>
      </c>
      <c r="AK22" s="23">
        <f t="shared" si="13"/>
        <v>9.3648840206185575</v>
      </c>
      <c r="AL22" s="23">
        <f t="shared" si="14"/>
        <v>23.412210051546396</v>
      </c>
      <c r="AM22" s="23">
        <f t="shared" si="15"/>
        <v>0</v>
      </c>
      <c r="AN22" s="23">
        <f t="shared" si="16"/>
        <v>23.412210051546396</v>
      </c>
      <c r="AQ22" s="32">
        <f t="shared" si="17"/>
        <v>42736</v>
      </c>
      <c r="AR22" s="32">
        <f t="shared" si="18"/>
        <v>42916</v>
      </c>
      <c r="AS22" s="50">
        <v>21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0.85135309278350524</v>
      </c>
      <c r="BA22" s="23">
        <f t="shared" si="26"/>
        <v>8.9392074742268051</v>
      </c>
      <c r="BB22" s="23">
        <f t="shared" si="27"/>
        <v>22.348018685567013</v>
      </c>
      <c r="BC22" s="23">
        <f t="shared" si="28"/>
        <v>0</v>
      </c>
      <c r="BD22" s="23">
        <f t="shared" si="29"/>
        <v>22.348018685567013</v>
      </c>
    </row>
    <row r="23" spans="1:56">
      <c r="A23" s="1" t="s">
        <v>20</v>
      </c>
      <c r="B23" s="1" t="s">
        <v>34</v>
      </c>
      <c r="C23" s="1" t="s">
        <v>22</v>
      </c>
      <c r="D23" s="1" t="s">
        <v>35</v>
      </c>
      <c r="E23" s="51" t="s">
        <v>107</v>
      </c>
      <c r="F23" s="51" t="s">
        <v>108</v>
      </c>
      <c r="G23" s="51" t="s">
        <v>109</v>
      </c>
      <c r="H23" s="1" t="s">
        <v>124</v>
      </c>
      <c r="I23" s="1" t="s">
        <v>125</v>
      </c>
      <c r="J23" s="51" t="s">
        <v>112</v>
      </c>
      <c r="K23" s="51" t="s">
        <v>112</v>
      </c>
      <c r="L23" s="51" t="s">
        <v>112</v>
      </c>
      <c r="M23" s="1">
        <v>1979114</v>
      </c>
      <c r="N23" s="56" t="s">
        <v>634</v>
      </c>
      <c r="O23" s="55">
        <f>DATE(2011,4,11)</f>
        <v>40644</v>
      </c>
      <c r="P23" s="55">
        <f>DATE(2015,3,16)</f>
        <v>42079</v>
      </c>
      <c r="Q23" s="51">
        <v>3620</v>
      </c>
      <c r="S23" s="51">
        <v>2.5</v>
      </c>
      <c r="U23" s="1">
        <f t="shared" si="0"/>
        <v>1436</v>
      </c>
      <c r="V23" s="31">
        <f t="shared" si="1"/>
        <v>2.5208913649025071</v>
      </c>
      <c r="W23" s="31">
        <f t="shared" si="2"/>
        <v>920.12534818941504</v>
      </c>
      <c r="X23" s="31">
        <f t="shared" si="3"/>
        <v>1.1501566852367688</v>
      </c>
      <c r="AA23" s="32">
        <f t="shared" si="4"/>
        <v>42552</v>
      </c>
      <c r="AB23" s="32">
        <f t="shared" si="5"/>
        <v>42735</v>
      </c>
      <c r="AC23" s="50">
        <v>2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0.57507834261838442</v>
      </c>
      <c r="AK23" s="23">
        <f t="shared" si="13"/>
        <v>0.57507834261838442</v>
      </c>
      <c r="AL23" s="23">
        <f t="shared" si="14"/>
        <v>1.437695856545961</v>
      </c>
      <c r="AM23" s="23">
        <f t="shared" si="15"/>
        <v>0</v>
      </c>
      <c r="AN23" s="23">
        <f t="shared" si="16"/>
        <v>1.437695856545961</v>
      </c>
      <c r="AQ23" s="32">
        <f t="shared" si="17"/>
        <v>42736</v>
      </c>
      <c r="AR23" s="32">
        <f t="shared" si="18"/>
        <v>42916</v>
      </c>
      <c r="AS23" s="56">
        <v>0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0.57507834261838442</v>
      </c>
      <c r="BA23" s="23">
        <f t="shared" si="26"/>
        <v>0</v>
      </c>
      <c r="BB23" s="23">
        <f t="shared" si="27"/>
        <v>0</v>
      </c>
      <c r="BC23" s="23">
        <f t="shared" si="28"/>
        <v>0</v>
      </c>
      <c r="BD23" s="23">
        <f t="shared" si="29"/>
        <v>0</v>
      </c>
    </row>
    <row r="24" spans="1:56">
      <c r="A24" s="1" t="s">
        <v>20</v>
      </c>
      <c r="B24" s="1" t="s">
        <v>34</v>
      </c>
      <c r="C24" s="1" t="s">
        <v>22</v>
      </c>
      <c r="D24" s="1" t="s">
        <v>35</v>
      </c>
      <c r="E24" s="51" t="s">
        <v>107</v>
      </c>
      <c r="F24" s="51" t="s">
        <v>108</v>
      </c>
      <c r="G24" s="51" t="s">
        <v>109</v>
      </c>
      <c r="H24" s="1" t="s">
        <v>124</v>
      </c>
      <c r="I24" s="1" t="s">
        <v>125</v>
      </c>
      <c r="J24" s="51" t="s">
        <v>112</v>
      </c>
      <c r="K24" s="51" t="s">
        <v>112</v>
      </c>
      <c r="L24" s="51" t="s">
        <v>112</v>
      </c>
      <c r="M24" s="1">
        <v>1979117</v>
      </c>
      <c r="N24" s="56" t="s">
        <v>635</v>
      </c>
      <c r="O24" s="55">
        <f>DATE(2013,8,5)</f>
        <v>41491</v>
      </c>
      <c r="P24" s="55">
        <f>DATE(2015,4,30)</f>
        <v>42124</v>
      </c>
      <c r="Q24" s="51">
        <v>1200</v>
      </c>
      <c r="S24" s="51">
        <v>2.5</v>
      </c>
      <c r="U24" s="1">
        <f t="shared" si="0"/>
        <v>634</v>
      </c>
      <c r="V24" s="31">
        <f t="shared" si="1"/>
        <v>1.8927444794952681</v>
      </c>
      <c r="W24" s="31">
        <f t="shared" si="2"/>
        <v>690.85173501577287</v>
      </c>
      <c r="X24" s="31">
        <f t="shared" si="3"/>
        <v>0.86356466876971605</v>
      </c>
      <c r="AA24" s="32">
        <f t="shared" si="4"/>
        <v>42552</v>
      </c>
      <c r="AB24" s="32">
        <f t="shared" si="5"/>
        <v>42735</v>
      </c>
      <c r="AC24" s="50">
        <v>6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0</v>
      </c>
      <c r="AH24" s="1">
        <f t="shared" si="10"/>
        <v>92</v>
      </c>
      <c r="AI24" s="23">
        <f t="shared" si="11"/>
        <v>0.5</v>
      </c>
      <c r="AJ24" s="23">
        <f t="shared" si="12"/>
        <v>0.43178233438485802</v>
      </c>
      <c r="AK24" s="23">
        <f t="shared" si="13"/>
        <v>1.295347003154574</v>
      </c>
      <c r="AL24" s="23">
        <f t="shared" si="14"/>
        <v>3.2383675078864349</v>
      </c>
      <c r="AM24" s="23">
        <f t="shared" si="15"/>
        <v>0</v>
      </c>
      <c r="AN24" s="23">
        <f t="shared" si="16"/>
        <v>3.2383675078864349</v>
      </c>
      <c r="AQ24" s="32">
        <f t="shared" si="17"/>
        <v>42736</v>
      </c>
      <c r="AR24" s="32">
        <f t="shared" si="18"/>
        <v>42916</v>
      </c>
      <c r="AS24" s="56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0.43178233438485802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34</v>
      </c>
      <c r="C25" s="1" t="s">
        <v>22</v>
      </c>
      <c r="D25" s="1" t="s">
        <v>35</v>
      </c>
      <c r="E25" s="51" t="s">
        <v>107</v>
      </c>
      <c r="F25" s="51" t="s">
        <v>108</v>
      </c>
      <c r="G25" s="51" t="s">
        <v>109</v>
      </c>
      <c r="H25" s="1" t="s">
        <v>110</v>
      </c>
      <c r="I25" s="1" t="s">
        <v>111</v>
      </c>
      <c r="J25" s="51" t="s">
        <v>112</v>
      </c>
      <c r="K25" s="51" t="s">
        <v>112</v>
      </c>
      <c r="L25" s="51" t="s">
        <v>112</v>
      </c>
      <c r="M25" s="1">
        <v>1979124</v>
      </c>
      <c r="N25" s="50" t="s">
        <v>636</v>
      </c>
      <c r="O25" s="55">
        <f>DATE(2012,8,1)</f>
        <v>41122</v>
      </c>
      <c r="P25" s="55">
        <f>DATE(2016,12,30)</f>
        <v>42734</v>
      </c>
      <c r="Q25" s="51">
        <v>3940</v>
      </c>
      <c r="S25" s="51">
        <v>2</v>
      </c>
      <c r="U25" s="1">
        <f t="shared" si="0"/>
        <v>1613</v>
      </c>
      <c r="V25" s="31">
        <f t="shared" si="1"/>
        <v>2.4426534407935523</v>
      </c>
      <c r="W25" s="31">
        <f t="shared" si="2"/>
        <v>891.56850588964653</v>
      </c>
      <c r="X25" s="31">
        <f t="shared" si="3"/>
        <v>1.1144606323620581</v>
      </c>
      <c r="AA25" s="32">
        <f t="shared" si="4"/>
        <v>42552</v>
      </c>
      <c r="AB25" s="32">
        <f t="shared" si="5"/>
        <v>42735</v>
      </c>
      <c r="AC25" s="50">
        <v>17</v>
      </c>
      <c r="AD25" s="1">
        <f t="shared" si="6"/>
        <v>0</v>
      </c>
      <c r="AE25" s="1">
        <f t="shared" si="7"/>
        <v>0</v>
      </c>
      <c r="AF25" s="1">
        <f t="shared" si="8"/>
        <v>183</v>
      </c>
      <c r="AG25" s="1">
        <f t="shared" si="9"/>
        <v>0</v>
      </c>
      <c r="AH25" s="1">
        <f t="shared" si="10"/>
        <v>0</v>
      </c>
      <c r="AI25" s="23">
        <f t="shared" si="11"/>
        <v>0.99456521739130432</v>
      </c>
      <c r="AJ25" s="23">
        <f t="shared" si="12"/>
        <v>1.1084037810992207</v>
      </c>
      <c r="AK25" s="23">
        <f t="shared" si="13"/>
        <v>18.842864278686751</v>
      </c>
      <c r="AL25" s="23">
        <f t="shared" si="14"/>
        <v>37.685728557373501</v>
      </c>
      <c r="AM25" s="23">
        <f t="shared" si="15"/>
        <v>0</v>
      </c>
      <c r="AN25" s="23">
        <f t="shared" si="16"/>
        <v>37.685728557373501</v>
      </c>
      <c r="AQ25" s="32">
        <f t="shared" si="17"/>
        <v>42736</v>
      </c>
      <c r="AR25" s="32">
        <f t="shared" si="18"/>
        <v>42916</v>
      </c>
      <c r="AS25" s="50">
        <v>17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0.55723031618102903</v>
      </c>
      <c r="BA25" s="23">
        <f t="shared" si="26"/>
        <v>4.7364576875387465</v>
      </c>
      <c r="BB25" s="23">
        <f t="shared" si="27"/>
        <v>9.472915375077493</v>
      </c>
      <c r="BC25" s="23">
        <f t="shared" si="28"/>
        <v>0</v>
      </c>
      <c r="BD25" s="23">
        <f t="shared" si="29"/>
        <v>9.472915375077493</v>
      </c>
    </row>
    <row r="26" spans="1:56">
      <c r="A26" s="1" t="s">
        <v>20</v>
      </c>
      <c r="B26" s="1" t="s">
        <v>34</v>
      </c>
      <c r="C26" s="1" t="s">
        <v>22</v>
      </c>
      <c r="D26" s="1" t="s">
        <v>35</v>
      </c>
      <c r="E26" s="51" t="s">
        <v>107</v>
      </c>
      <c r="F26" s="51" t="s">
        <v>294</v>
      </c>
      <c r="G26" s="51" t="s">
        <v>109</v>
      </c>
      <c r="H26" s="1" t="s">
        <v>620</v>
      </c>
      <c r="I26" s="1" t="s">
        <v>147</v>
      </c>
      <c r="J26" s="51" t="s">
        <v>148</v>
      </c>
      <c r="K26" s="51" t="s">
        <v>112</v>
      </c>
      <c r="L26" s="51" t="s">
        <v>112</v>
      </c>
      <c r="M26" s="1">
        <v>1988476</v>
      </c>
      <c r="N26" s="51" t="s">
        <v>637</v>
      </c>
      <c r="O26" s="55">
        <f>DATE(2015,3,16)</f>
        <v>42079</v>
      </c>
      <c r="P26" s="55">
        <f>DATE(2017,12,22)</f>
        <v>43091</v>
      </c>
      <c r="Q26" s="51">
        <v>2780</v>
      </c>
      <c r="S26" s="51">
        <v>2.5</v>
      </c>
      <c r="U26" s="1">
        <f t="shared" si="0"/>
        <v>1013</v>
      </c>
      <c r="V26" s="31">
        <f t="shared" si="1"/>
        <v>2.7443237907206317</v>
      </c>
      <c r="W26" s="31">
        <f t="shared" si="2"/>
        <v>1001.6781836130306</v>
      </c>
      <c r="X26" s="31">
        <f t="shared" si="3"/>
        <v>1.2520977295162883</v>
      </c>
      <c r="AA26" s="32">
        <f t="shared" si="4"/>
        <v>42552</v>
      </c>
      <c r="AB26" s="32">
        <f t="shared" si="5"/>
        <v>42735</v>
      </c>
      <c r="AC26" s="51">
        <v>38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1.2520977295162883</v>
      </c>
      <c r="AK26" s="23">
        <f t="shared" si="13"/>
        <v>47.579713721618958</v>
      </c>
      <c r="AL26" s="23">
        <f t="shared" si="14"/>
        <v>118.9492843040474</v>
      </c>
      <c r="AM26" s="23">
        <f t="shared" si="15"/>
        <v>59.474642152023698</v>
      </c>
      <c r="AN26" s="23">
        <f t="shared" si="16"/>
        <v>178.42392645607109</v>
      </c>
      <c r="AQ26" s="32">
        <f t="shared" si="17"/>
        <v>42736</v>
      </c>
      <c r="AR26" s="32">
        <f t="shared" si="18"/>
        <v>42916</v>
      </c>
      <c r="AS26" s="51">
        <v>38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1.2520977295162883</v>
      </c>
      <c r="BA26" s="23">
        <f t="shared" si="26"/>
        <v>47.579713721618958</v>
      </c>
      <c r="BB26" s="23">
        <f t="shared" si="27"/>
        <v>118.9492843040474</v>
      </c>
      <c r="BC26" s="23">
        <f t="shared" si="28"/>
        <v>59.474642152023698</v>
      </c>
      <c r="BD26" s="23">
        <f t="shared" si="29"/>
        <v>178.42392645607109</v>
      </c>
    </row>
    <row r="27" spans="1:56">
      <c r="A27" s="1" t="s">
        <v>20</v>
      </c>
      <c r="B27" s="1" t="s">
        <v>34</v>
      </c>
      <c r="C27" s="1" t="s">
        <v>22</v>
      </c>
      <c r="D27" s="1" t="s">
        <v>35</v>
      </c>
      <c r="E27" s="51" t="s">
        <v>107</v>
      </c>
      <c r="F27" s="51" t="s">
        <v>294</v>
      </c>
      <c r="G27" s="51" t="s">
        <v>109</v>
      </c>
      <c r="H27" s="1" t="s">
        <v>624</v>
      </c>
      <c r="I27" s="1" t="s">
        <v>234</v>
      </c>
      <c r="J27" s="51" t="s">
        <v>112</v>
      </c>
      <c r="K27" s="51" t="s">
        <v>112</v>
      </c>
      <c r="L27" s="51" t="s">
        <v>112</v>
      </c>
      <c r="M27" s="1">
        <v>1988477</v>
      </c>
      <c r="N27" s="51" t="s">
        <v>638</v>
      </c>
      <c r="O27" s="55">
        <f>DATE(2015,3,16)</f>
        <v>42079</v>
      </c>
      <c r="P27" s="55">
        <f>DATE(2017,12,22)</f>
        <v>43091</v>
      </c>
      <c r="Q27" s="51">
        <v>2600</v>
      </c>
      <c r="S27" s="51">
        <v>1</v>
      </c>
      <c r="U27" s="1">
        <f t="shared" si="0"/>
        <v>1013</v>
      </c>
      <c r="V27" s="31">
        <f t="shared" si="1"/>
        <v>2.5666337611056269</v>
      </c>
      <c r="W27" s="31">
        <f t="shared" si="2"/>
        <v>936.82132280355381</v>
      </c>
      <c r="X27" s="31">
        <f t="shared" si="3"/>
        <v>1.1710266535044422</v>
      </c>
      <c r="AA27" s="32">
        <f t="shared" si="4"/>
        <v>42552</v>
      </c>
      <c r="AB27" s="32">
        <f t="shared" si="5"/>
        <v>42735</v>
      </c>
      <c r="AC27" s="51">
        <v>32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1.1710266535044422</v>
      </c>
      <c r="AK27" s="23">
        <f t="shared" si="13"/>
        <v>37.472852912142152</v>
      </c>
      <c r="AL27" s="23">
        <f t="shared" si="14"/>
        <v>37.472852912142152</v>
      </c>
      <c r="AM27" s="23">
        <f t="shared" si="15"/>
        <v>0</v>
      </c>
      <c r="AN27" s="23">
        <f t="shared" si="16"/>
        <v>37.472852912142152</v>
      </c>
      <c r="AQ27" s="32">
        <f t="shared" si="17"/>
        <v>42736</v>
      </c>
      <c r="AR27" s="32">
        <f t="shared" si="18"/>
        <v>42916</v>
      </c>
      <c r="AS27" s="51">
        <v>32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1.1710266535044422</v>
      </c>
      <c r="BA27" s="23">
        <f t="shared" si="26"/>
        <v>37.472852912142152</v>
      </c>
      <c r="BB27" s="23">
        <f t="shared" si="27"/>
        <v>37.472852912142152</v>
      </c>
      <c r="BC27" s="23">
        <f t="shared" si="28"/>
        <v>0</v>
      </c>
      <c r="BD27" s="23">
        <f t="shared" si="29"/>
        <v>37.472852912142152</v>
      </c>
    </row>
    <row r="28" spans="1:56">
      <c r="A28" s="1" t="s">
        <v>20</v>
      </c>
      <c r="B28" s="1" t="s">
        <v>34</v>
      </c>
      <c r="C28" s="1" t="s">
        <v>22</v>
      </c>
      <c r="D28" s="1" t="s">
        <v>35</v>
      </c>
      <c r="E28" s="51" t="s">
        <v>107</v>
      </c>
      <c r="F28" s="51" t="s">
        <v>114</v>
      </c>
      <c r="G28" s="51" t="s">
        <v>109</v>
      </c>
      <c r="H28" s="1" t="s">
        <v>152</v>
      </c>
      <c r="I28" s="1" t="s">
        <v>147</v>
      </c>
      <c r="J28" s="51" t="s">
        <v>112</v>
      </c>
      <c r="K28" s="51" t="s">
        <v>112</v>
      </c>
      <c r="L28" s="51" t="s">
        <v>112</v>
      </c>
      <c r="M28" s="1">
        <v>1988498</v>
      </c>
      <c r="N28" s="52" t="s">
        <v>639</v>
      </c>
      <c r="O28" s="55">
        <f>DATE(2015,3,16)</f>
        <v>42079</v>
      </c>
      <c r="P28" s="55">
        <f>DATE(2018,4,27)</f>
        <v>43217</v>
      </c>
      <c r="Q28" s="51">
        <v>3240</v>
      </c>
      <c r="S28" s="51">
        <v>2.5</v>
      </c>
      <c r="U28" s="1">
        <f t="shared" si="0"/>
        <v>1139</v>
      </c>
      <c r="V28" s="31">
        <f t="shared" si="1"/>
        <v>2.8446005267778753</v>
      </c>
      <c r="W28" s="31">
        <f t="shared" si="2"/>
        <v>1038.2791922739245</v>
      </c>
      <c r="X28" s="31">
        <f t="shared" si="3"/>
        <v>1.2978489903424058</v>
      </c>
      <c r="AA28" s="32">
        <f t="shared" si="4"/>
        <v>42552</v>
      </c>
      <c r="AB28" s="32">
        <f t="shared" si="5"/>
        <v>42735</v>
      </c>
      <c r="AC28" s="52">
        <v>34</v>
      </c>
      <c r="AD28" s="1">
        <f t="shared" si="6"/>
        <v>184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1.2978489903424058</v>
      </c>
      <c r="AK28" s="23">
        <f t="shared" si="13"/>
        <v>44.126865671641795</v>
      </c>
      <c r="AL28" s="23">
        <f t="shared" si="14"/>
        <v>110.31716417910448</v>
      </c>
      <c r="AM28" s="23">
        <f t="shared" si="15"/>
        <v>0</v>
      </c>
      <c r="AN28" s="23">
        <f t="shared" si="16"/>
        <v>110.31716417910448</v>
      </c>
      <c r="AQ28" s="32">
        <f t="shared" si="17"/>
        <v>42736</v>
      </c>
      <c r="AR28" s="32">
        <f t="shared" si="18"/>
        <v>42916</v>
      </c>
      <c r="AS28" s="52">
        <v>34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1.2978489903424058</v>
      </c>
      <c r="BA28" s="23">
        <f t="shared" si="26"/>
        <v>44.126865671641795</v>
      </c>
      <c r="BB28" s="23">
        <f t="shared" si="27"/>
        <v>110.31716417910448</v>
      </c>
      <c r="BC28" s="23">
        <f t="shared" si="28"/>
        <v>0</v>
      </c>
      <c r="BD28" s="23">
        <f t="shared" si="29"/>
        <v>110.31716417910448</v>
      </c>
    </row>
    <row r="29" spans="1:56">
      <c r="A29" s="1" t="s">
        <v>20</v>
      </c>
      <c r="B29" s="1" t="s">
        <v>34</v>
      </c>
      <c r="C29" s="1" t="s">
        <v>22</v>
      </c>
      <c r="D29" s="1" t="s">
        <v>35</v>
      </c>
      <c r="E29" s="51" t="s">
        <v>107</v>
      </c>
      <c r="F29" s="51" t="s">
        <v>108</v>
      </c>
      <c r="G29" s="51" t="s">
        <v>109</v>
      </c>
      <c r="H29" s="1" t="s">
        <v>124</v>
      </c>
      <c r="I29" s="1" t="s">
        <v>125</v>
      </c>
      <c r="J29" s="51" t="s">
        <v>112</v>
      </c>
      <c r="K29" s="51" t="s">
        <v>112</v>
      </c>
      <c r="L29" s="51" t="s">
        <v>112</v>
      </c>
      <c r="M29" s="1">
        <v>1988503</v>
      </c>
      <c r="N29" s="51" t="s">
        <v>640</v>
      </c>
      <c r="O29" s="55">
        <f>DATE(2015,4,9)</f>
        <v>42103</v>
      </c>
      <c r="P29" s="55">
        <f>DATE(2017,12,22)</f>
        <v>43091</v>
      </c>
      <c r="Q29" s="51">
        <v>1200</v>
      </c>
      <c r="S29" s="51">
        <v>2.5</v>
      </c>
      <c r="U29" s="1">
        <f t="shared" si="0"/>
        <v>989</v>
      </c>
      <c r="V29" s="31">
        <f t="shared" si="1"/>
        <v>1.2133468149646107</v>
      </c>
      <c r="W29" s="31">
        <f t="shared" si="2"/>
        <v>442.87158746208291</v>
      </c>
      <c r="X29" s="31">
        <f t="shared" si="3"/>
        <v>0.55358948432760369</v>
      </c>
      <c r="AA29" s="32">
        <f t="shared" si="4"/>
        <v>42552</v>
      </c>
      <c r="AB29" s="32">
        <f t="shared" si="5"/>
        <v>42735</v>
      </c>
      <c r="AC29" s="51">
        <v>36</v>
      </c>
      <c r="AD29" s="1">
        <f t="shared" si="6"/>
        <v>184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1</v>
      </c>
      <c r="AJ29" s="23">
        <f t="shared" si="12"/>
        <v>0.55358948432760369</v>
      </c>
      <c r="AK29" s="23">
        <f t="shared" si="13"/>
        <v>19.929221435793732</v>
      </c>
      <c r="AL29" s="23">
        <f t="shared" si="14"/>
        <v>49.823053589484331</v>
      </c>
      <c r="AM29" s="23">
        <f t="shared" si="15"/>
        <v>0</v>
      </c>
      <c r="AN29" s="23">
        <f t="shared" si="16"/>
        <v>49.823053589484331</v>
      </c>
      <c r="AQ29" s="32">
        <f t="shared" si="17"/>
        <v>42736</v>
      </c>
      <c r="AR29" s="32">
        <f t="shared" si="18"/>
        <v>42916</v>
      </c>
      <c r="AS29" s="51">
        <v>36</v>
      </c>
      <c r="AT29" s="1">
        <f t="shared" si="19"/>
        <v>181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1</v>
      </c>
      <c r="AZ29" s="23">
        <f t="shared" si="25"/>
        <v>0.55358948432760369</v>
      </c>
      <c r="BA29" s="23">
        <f t="shared" si="26"/>
        <v>19.929221435793732</v>
      </c>
      <c r="BB29" s="23">
        <f t="shared" si="27"/>
        <v>49.823053589484331</v>
      </c>
      <c r="BC29" s="23">
        <f t="shared" si="28"/>
        <v>0</v>
      </c>
      <c r="BD29" s="23">
        <f t="shared" si="29"/>
        <v>49.823053589484331</v>
      </c>
    </row>
    <row r="30" spans="1:56">
      <c r="A30" s="1" t="s">
        <v>20</v>
      </c>
      <c r="B30" s="1" t="s">
        <v>34</v>
      </c>
      <c r="C30" s="1" t="s">
        <v>22</v>
      </c>
      <c r="D30" s="1" t="s">
        <v>35</v>
      </c>
      <c r="E30" s="51" t="s">
        <v>107</v>
      </c>
      <c r="F30" s="51" t="s">
        <v>108</v>
      </c>
      <c r="G30" s="51" t="s">
        <v>109</v>
      </c>
      <c r="H30" s="1" t="s">
        <v>213</v>
      </c>
      <c r="I30" s="1" t="s">
        <v>214</v>
      </c>
      <c r="J30" s="51" t="s">
        <v>112</v>
      </c>
      <c r="K30" s="51" t="s">
        <v>112</v>
      </c>
      <c r="L30" s="51" t="s">
        <v>112</v>
      </c>
      <c r="M30" s="1">
        <v>1988722</v>
      </c>
      <c r="N30" s="51" t="s">
        <v>641</v>
      </c>
      <c r="O30" s="55">
        <f>DATE(2015,4,9)</f>
        <v>42103</v>
      </c>
      <c r="P30" s="55">
        <f>DATE(2017,12,22)</f>
        <v>43091</v>
      </c>
      <c r="Q30" s="51">
        <v>3500</v>
      </c>
      <c r="S30" s="51">
        <v>1.5</v>
      </c>
      <c r="U30" s="1">
        <f t="shared" si="0"/>
        <v>989</v>
      </c>
      <c r="V30" s="31">
        <f t="shared" si="1"/>
        <v>3.5389282103134478</v>
      </c>
      <c r="W30" s="31">
        <f t="shared" si="2"/>
        <v>1291.7087967644084</v>
      </c>
      <c r="X30" s="31">
        <f t="shared" si="3"/>
        <v>1.6146359959555106</v>
      </c>
      <c r="AA30" s="32">
        <f t="shared" si="4"/>
        <v>42552</v>
      </c>
      <c r="AB30" s="32">
        <f t="shared" si="5"/>
        <v>42735</v>
      </c>
      <c r="AC30" s="51">
        <v>25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1.6146359959555106</v>
      </c>
      <c r="AK30" s="23">
        <f t="shared" si="13"/>
        <v>40.365899898887761</v>
      </c>
      <c r="AL30" s="23">
        <f t="shared" si="14"/>
        <v>60.548849848331642</v>
      </c>
      <c r="AM30" s="23">
        <f t="shared" si="15"/>
        <v>0</v>
      </c>
      <c r="AN30" s="23">
        <f t="shared" si="16"/>
        <v>60.548849848331642</v>
      </c>
      <c r="AQ30" s="32">
        <f t="shared" si="17"/>
        <v>42736</v>
      </c>
      <c r="AR30" s="32">
        <f t="shared" si="18"/>
        <v>42916</v>
      </c>
      <c r="AS30" s="51">
        <v>25</v>
      </c>
      <c r="AT30" s="1">
        <f t="shared" si="19"/>
        <v>181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1</v>
      </c>
      <c r="AZ30" s="23">
        <f t="shared" si="25"/>
        <v>1.6146359959555106</v>
      </c>
      <c r="BA30" s="23">
        <f t="shared" si="26"/>
        <v>40.365899898887761</v>
      </c>
      <c r="BB30" s="23">
        <f t="shared" si="27"/>
        <v>60.548849848331642</v>
      </c>
      <c r="BC30" s="23">
        <f t="shared" si="28"/>
        <v>0</v>
      </c>
      <c r="BD30" s="23">
        <f t="shared" si="29"/>
        <v>60.548849848331642</v>
      </c>
    </row>
    <row r="31" spans="1:56">
      <c r="A31" s="1" t="s">
        <v>20</v>
      </c>
      <c r="B31" s="1" t="s">
        <v>34</v>
      </c>
      <c r="C31" s="1" t="s">
        <v>22</v>
      </c>
      <c r="D31" s="1" t="s">
        <v>35</v>
      </c>
      <c r="E31" s="51" t="s">
        <v>107</v>
      </c>
      <c r="F31" s="51" t="s">
        <v>108</v>
      </c>
      <c r="G31" s="51" t="s">
        <v>109</v>
      </c>
      <c r="H31" s="1" t="s">
        <v>642</v>
      </c>
      <c r="I31" s="1" t="s">
        <v>147</v>
      </c>
      <c r="J31" s="51" t="s">
        <v>148</v>
      </c>
      <c r="K31" s="51" t="s">
        <v>112</v>
      </c>
      <c r="L31" s="51" t="s">
        <v>112</v>
      </c>
      <c r="M31" s="1">
        <v>1988726</v>
      </c>
      <c r="N31" s="51" t="s">
        <v>643</v>
      </c>
      <c r="O31" s="55">
        <f>DATE(2015,4,9)</f>
        <v>42103</v>
      </c>
      <c r="P31" s="55">
        <f>DATE(2017,12,22)</f>
        <v>43091</v>
      </c>
      <c r="Q31" s="51">
        <v>3900</v>
      </c>
      <c r="S31" s="51">
        <v>2.5</v>
      </c>
      <c r="U31" s="1">
        <f t="shared" si="0"/>
        <v>989</v>
      </c>
      <c r="V31" s="31">
        <f t="shared" si="1"/>
        <v>3.9433771486349847</v>
      </c>
      <c r="W31" s="31">
        <f t="shared" si="2"/>
        <v>1439.3326592517694</v>
      </c>
      <c r="X31" s="31">
        <f t="shared" si="3"/>
        <v>1.7991658240647117</v>
      </c>
      <c r="AA31" s="32">
        <f t="shared" si="4"/>
        <v>42552</v>
      </c>
      <c r="AB31" s="32">
        <f t="shared" si="5"/>
        <v>42735</v>
      </c>
      <c r="AC31" s="51">
        <v>14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1.7991658240647117</v>
      </c>
      <c r="AK31" s="23">
        <f t="shared" si="13"/>
        <v>25.188321536905963</v>
      </c>
      <c r="AL31" s="23">
        <f t="shared" si="14"/>
        <v>62.970803842264907</v>
      </c>
      <c r="AM31" s="23">
        <f t="shared" si="15"/>
        <v>31.485401921132453</v>
      </c>
      <c r="AN31" s="23">
        <f t="shared" si="16"/>
        <v>94.456205763397364</v>
      </c>
      <c r="AQ31" s="32">
        <f t="shared" si="17"/>
        <v>42736</v>
      </c>
      <c r="AR31" s="32">
        <f t="shared" si="18"/>
        <v>42916</v>
      </c>
      <c r="AS31" s="51">
        <v>14</v>
      </c>
      <c r="AT31" s="1">
        <f t="shared" si="19"/>
        <v>181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1</v>
      </c>
      <c r="AZ31" s="23">
        <f t="shared" si="25"/>
        <v>1.7991658240647117</v>
      </c>
      <c r="BA31" s="23">
        <f t="shared" si="26"/>
        <v>25.188321536905963</v>
      </c>
      <c r="BB31" s="23">
        <f t="shared" si="27"/>
        <v>62.970803842264907</v>
      </c>
      <c r="BC31" s="23">
        <f t="shared" si="28"/>
        <v>31.485401921132453</v>
      </c>
      <c r="BD31" s="23">
        <f t="shared" si="29"/>
        <v>94.456205763397364</v>
      </c>
    </row>
    <row r="32" spans="1:56">
      <c r="A32" s="1" t="s">
        <v>20</v>
      </c>
      <c r="B32" s="1" t="s">
        <v>34</v>
      </c>
      <c r="C32" s="1" t="s">
        <v>22</v>
      </c>
      <c r="D32" s="1" t="s">
        <v>35</v>
      </c>
      <c r="E32" s="51" t="s">
        <v>107</v>
      </c>
      <c r="F32" s="51" t="s">
        <v>108</v>
      </c>
      <c r="G32" s="51" t="s">
        <v>109</v>
      </c>
      <c r="H32" s="1" t="s">
        <v>124</v>
      </c>
      <c r="I32" s="1" t="s">
        <v>125</v>
      </c>
      <c r="J32" s="51" t="s">
        <v>112</v>
      </c>
      <c r="K32" s="51" t="s">
        <v>112</v>
      </c>
      <c r="L32" s="51" t="s">
        <v>112</v>
      </c>
      <c r="M32" s="1">
        <v>1988740</v>
      </c>
      <c r="N32" s="51" t="s">
        <v>644</v>
      </c>
      <c r="O32" s="55">
        <f>DATE(2015,4,9)</f>
        <v>42103</v>
      </c>
      <c r="P32" s="55">
        <f>DATE(2017,12,22)</f>
        <v>43091</v>
      </c>
      <c r="Q32" s="51">
        <v>3940</v>
      </c>
      <c r="S32" s="51">
        <v>2.5</v>
      </c>
      <c r="U32" s="1">
        <f t="shared" si="0"/>
        <v>989</v>
      </c>
      <c r="V32" s="31">
        <f t="shared" si="1"/>
        <v>3.9838220424671387</v>
      </c>
      <c r="W32" s="31">
        <f t="shared" si="2"/>
        <v>1454.0950455005056</v>
      </c>
      <c r="X32" s="31">
        <f t="shared" si="3"/>
        <v>1.817618806875632</v>
      </c>
      <c r="AA32" s="32">
        <f t="shared" si="4"/>
        <v>42552</v>
      </c>
      <c r="AB32" s="32">
        <f t="shared" si="5"/>
        <v>42735</v>
      </c>
      <c r="AC32" s="51">
        <v>35</v>
      </c>
      <c r="AD32" s="1">
        <f t="shared" si="6"/>
        <v>184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1</v>
      </c>
      <c r="AJ32" s="23">
        <f t="shared" si="12"/>
        <v>1.817618806875632</v>
      </c>
      <c r="AK32" s="23">
        <f t="shared" si="13"/>
        <v>63.616658240647119</v>
      </c>
      <c r="AL32" s="23">
        <f t="shared" si="14"/>
        <v>159.0416456016178</v>
      </c>
      <c r="AM32" s="23">
        <f t="shared" si="15"/>
        <v>0</v>
      </c>
      <c r="AN32" s="23">
        <f t="shared" si="16"/>
        <v>159.0416456016178</v>
      </c>
      <c r="AQ32" s="32">
        <f t="shared" si="17"/>
        <v>42736</v>
      </c>
      <c r="AR32" s="32">
        <f t="shared" si="18"/>
        <v>42916</v>
      </c>
      <c r="AS32" s="51">
        <v>35</v>
      </c>
      <c r="AT32" s="1">
        <f t="shared" si="19"/>
        <v>181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1</v>
      </c>
      <c r="AZ32" s="23">
        <f t="shared" si="25"/>
        <v>1.817618806875632</v>
      </c>
      <c r="BA32" s="23">
        <f t="shared" si="26"/>
        <v>63.616658240647119</v>
      </c>
      <c r="BB32" s="23">
        <f t="shared" si="27"/>
        <v>159.0416456016178</v>
      </c>
      <c r="BC32" s="23">
        <f t="shared" si="28"/>
        <v>0</v>
      </c>
      <c r="BD32" s="23">
        <f t="shared" si="29"/>
        <v>159.0416456016178</v>
      </c>
    </row>
    <row r="33" spans="1:56">
      <c r="A33" s="1" t="s">
        <v>20</v>
      </c>
      <c r="B33" s="1" t="s">
        <v>34</v>
      </c>
      <c r="C33" s="1" t="s">
        <v>22</v>
      </c>
      <c r="D33" s="1" t="s">
        <v>35</v>
      </c>
      <c r="E33" s="51" t="s">
        <v>107</v>
      </c>
      <c r="F33" s="51" t="s">
        <v>108</v>
      </c>
      <c r="G33" s="51" t="s">
        <v>109</v>
      </c>
      <c r="H33" s="1" t="s">
        <v>615</v>
      </c>
      <c r="I33" s="1" t="s">
        <v>111</v>
      </c>
      <c r="J33" s="51" t="s">
        <v>112</v>
      </c>
      <c r="K33" s="51" t="s">
        <v>112</v>
      </c>
      <c r="L33" s="51" t="s">
        <v>112</v>
      </c>
      <c r="M33" s="1">
        <v>1989171</v>
      </c>
      <c r="N33" s="52" t="s">
        <v>645</v>
      </c>
      <c r="O33" s="55">
        <f>DATE(2015,6,22)</f>
        <v>42177</v>
      </c>
      <c r="P33" s="55">
        <f>DATE(2018,12,14)</f>
        <v>43448</v>
      </c>
      <c r="Q33" s="51">
        <v>3860</v>
      </c>
      <c r="S33" s="51">
        <v>1</v>
      </c>
      <c r="U33" s="1">
        <f t="shared" si="0"/>
        <v>1272</v>
      </c>
      <c r="V33" s="31">
        <f t="shared" si="1"/>
        <v>3.0345911949685536</v>
      </c>
      <c r="W33" s="31">
        <f t="shared" si="2"/>
        <v>1107.625786163522</v>
      </c>
      <c r="X33" s="31">
        <f t="shared" si="3"/>
        <v>1.3845322327044025</v>
      </c>
      <c r="AA33" s="32">
        <f t="shared" si="4"/>
        <v>42552</v>
      </c>
      <c r="AB33" s="32">
        <f t="shared" si="5"/>
        <v>42735</v>
      </c>
      <c r="AC33" s="52">
        <v>34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1.3845322327044025</v>
      </c>
      <c r="AK33" s="23">
        <f t="shared" si="13"/>
        <v>47.074095911949684</v>
      </c>
      <c r="AL33" s="23">
        <f t="shared" si="14"/>
        <v>47.074095911949684</v>
      </c>
      <c r="AM33" s="23">
        <f t="shared" si="15"/>
        <v>0</v>
      </c>
      <c r="AN33" s="23">
        <f t="shared" si="16"/>
        <v>47.074095911949684</v>
      </c>
      <c r="AQ33" s="32">
        <f t="shared" si="17"/>
        <v>42736</v>
      </c>
      <c r="AR33" s="32">
        <f t="shared" si="18"/>
        <v>42916</v>
      </c>
      <c r="AS33" s="52">
        <v>34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1.3845322327044025</v>
      </c>
      <c r="BA33" s="23">
        <f t="shared" si="26"/>
        <v>47.074095911949684</v>
      </c>
      <c r="BB33" s="23">
        <f t="shared" si="27"/>
        <v>47.074095911949684</v>
      </c>
      <c r="BC33" s="23">
        <f t="shared" si="28"/>
        <v>0</v>
      </c>
      <c r="BD33" s="23">
        <f t="shared" si="29"/>
        <v>47.074095911949684</v>
      </c>
    </row>
    <row r="34" spans="1:56">
      <c r="A34" s="1" t="s">
        <v>20</v>
      </c>
      <c r="B34" s="1" t="s">
        <v>34</v>
      </c>
      <c r="C34" s="1" t="s">
        <v>22</v>
      </c>
      <c r="D34" s="1" t="s">
        <v>35</v>
      </c>
      <c r="E34" s="51" t="s">
        <v>107</v>
      </c>
      <c r="F34" s="51" t="s">
        <v>108</v>
      </c>
      <c r="G34" s="51" t="s">
        <v>109</v>
      </c>
      <c r="H34" s="1" t="s">
        <v>110</v>
      </c>
      <c r="I34" s="1" t="s">
        <v>111</v>
      </c>
      <c r="J34" s="51" t="s">
        <v>112</v>
      </c>
      <c r="K34" s="51" t="s">
        <v>112</v>
      </c>
      <c r="L34" s="51" t="s">
        <v>112</v>
      </c>
      <c r="M34" s="1">
        <v>1989316</v>
      </c>
      <c r="N34" s="50" t="s">
        <v>646</v>
      </c>
      <c r="O34" s="55">
        <f>DATE(2015,8,3)</f>
        <v>42219</v>
      </c>
      <c r="P34" s="55">
        <f>DATE(2016,12,23)</f>
        <v>42727</v>
      </c>
      <c r="Q34" s="51">
        <v>1300</v>
      </c>
      <c r="S34" s="51">
        <v>2</v>
      </c>
      <c r="U34" s="1">
        <f t="shared" si="0"/>
        <v>509</v>
      </c>
      <c r="V34" s="31">
        <f t="shared" si="1"/>
        <v>2.5540275049115913</v>
      </c>
      <c r="W34" s="31">
        <f t="shared" si="2"/>
        <v>932.2200392927308</v>
      </c>
      <c r="X34" s="31">
        <f t="shared" si="3"/>
        <v>1.1652750491159134</v>
      </c>
      <c r="AA34" s="32">
        <f t="shared" si="4"/>
        <v>42552</v>
      </c>
      <c r="AB34" s="32">
        <f t="shared" si="5"/>
        <v>42735</v>
      </c>
      <c r="AC34" s="50">
        <v>37</v>
      </c>
      <c r="AD34" s="1">
        <f t="shared" si="6"/>
        <v>0</v>
      </c>
      <c r="AE34" s="1">
        <f t="shared" si="7"/>
        <v>0</v>
      </c>
      <c r="AF34" s="1">
        <f t="shared" si="8"/>
        <v>176</v>
      </c>
      <c r="AG34" s="1">
        <f t="shared" si="9"/>
        <v>0</v>
      </c>
      <c r="AH34" s="1">
        <f t="shared" si="10"/>
        <v>0</v>
      </c>
      <c r="AI34" s="23">
        <f t="shared" si="11"/>
        <v>0.95652173913043481</v>
      </c>
      <c r="AJ34" s="23">
        <f t="shared" si="12"/>
        <v>1.1146109165456564</v>
      </c>
      <c r="AK34" s="23">
        <f t="shared" si="13"/>
        <v>41.240603912189286</v>
      </c>
      <c r="AL34" s="23">
        <f t="shared" si="14"/>
        <v>82.481207824378572</v>
      </c>
      <c r="AM34" s="23">
        <f t="shared" si="15"/>
        <v>0</v>
      </c>
      <c r="AN34" s="23">
        <f t="shared" si="16"/>
        <v>82.481207824378572</v>
      </c>
      <c r="AQ34" s="32">
        <f t="shared" si="17"/>
        <v>42736</v>
      </c>
      <c r="AR34" s="32">
        <f t="shared" si="18"/>
        <v>42916</v>
      </c>
      <c r="AS34" s="50">
        <v>37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0.5826375245579567</v>
      </c>
      <c r="BA34" s="23">
        <f t="shared" si="26"/>
        <v>10.7787942043222</v>
      </c>
      <c r="BB34" s="23">
        <f t="shared" si="27"/>
        <v>21.557588408644399</v>
      </c>
      <c r="BC34" s="23">
        <f t="shared" si="28"/>
        <v>0</v>
      </c>
      <c r="BD34" s="23">
        <f t="shared" si="29"/>
        <v>21.557588408644399</v>
      </c>
    </row>
    <row r="35" spans="1:56">
      <c r="A35" s="1" t="s">
        <v>20</v>
      </c>
      <c r="B35" s="1" t="s">
        <v>34</v>
      </c>
      <c r="C35" s="1" t="s">
        <v>22</v>
      </c>
      <c r="D35" s="1" t="s">
        <v>35</v>
      </c>
      <c r="E35" s="51" t="s">
        <v>107</v>
      </c>
      <c r="F35" s="51" t="s">
        <v>108</v>
      </c>
      <c r="G35" s="51" t="s">
        <v>109</v>
      </c>
      <c r="H35" s="1" t="s">
        <v>146</v>
      </c>
      <c r="I35" s="1" t="s">
        <v>147</v>
      </c>
      <c r="J35" s="51" t="s">
        <v>148</v>
      </c>
      <c r="K35" s="51" t="s">
        <v>112</v>
      </c>
      <c r="L35" s="51" t="s">
        <v>112</v>
      </c>
      <c r="M35" s="1">
        <v>2019997</v>
      </c>
      <c r="N35" s="50" t="s">
        <v>647</v>
      </c>
      <c r="O35" s="55">
        <f>DATE(2013,2,4)</f>
        <v>41309</v>
      </c>
      <c r="P35" s="55">
        <f>DATE(2016,6,30)</f>
        <v>42551</v>
      </c>
      <c r="Q35" s="51">
        <v>3820</v>
      </c>
      <c r="S35" s="51">
        <v>2.5</v>
      </c>
      <c r="U35" s="1">
        <f t="shared" si="0"/>
        <v>1243</v>
      </c>
      <c r="V35" s="31">
        <f t="shared" si="1"/>
        <v>3.073209975864843</v>
      </c>
      <c r="W35" s="31">
        <f t="shared" si="2"/>
        <v>1121.7216411906677</v>
      </c>
      <c r="X35" s="31">
        <f t="shared" si="3"/>
        <v>1.4021520514883345</v>
      </c>
      <c r="AA35" s="32">
        <f t="shared" si="4"/>
        <v>42552</v>
      </c>
      <c r="AB35" s="32">
        <f t="shared" si="5"/>
        <v>42735</v>
      </c>
      <c r="AC35" s="50">
        <v>28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0.70107602574416727</v>
      </c>
      <c r="AK35" s="23">
        <f t="shared" si="13"/>
        <v>9.8150643604183418</v>
      </c>
      <c r="AL35" s="23">
        <f t="shared" si="14"/>
        <v>24.537660901045854</v>
      </c>
      <c r="AM35" s="23">
        <f t="shared" si="15"/>
        <v>12.268830450522927</v>
      </c>
      <c r="AN35" s="23">
        <f t="shared" si="16"/>
        <v>36.806491351568781</v>
      </c>
      <c r="AQ35" s="32">
        <f t="shared" si="17"/>
        <v>42736</v>
      </c>
      <c r="AR35" s="32">
        <f t="shared" si="18"/>
        <v>42916</v>
      </c>
      <c r="AS35" s="50">
        <v>28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0.70107602574416727</v>
      </c>
      <c r="BA35" s="23">
        <f t="shared" si="26"/>
        <v>9.8150643604183418</v>
      </c>
      <c r="BB35" s="23">
        <f t="shared" si="27"/>
        <v>24.537660901045854</v>
      </c>
      <c r="BC35" s="23">
        <f t="shared" si="28"/>
        <v>12.268830450522927</v>
      </c>
      <c r="BD35" s="23">
        <f t="shared" si="29"/>
        <v>36.806491351568781</v>
      </c>
    </row>
    <row r="36" spans="1:56">
      <c r="A36" s="1" t="s">
        <v>20</v>
      </c>
      <c r="B36" s="1" t="s">
        <v>34</v>
      </c>
      <c r="C36" s="1" t="s">
        <v>22</v>
      </c>
      <c r="D36" s="1" t="s">
        <v>35</v>
      </c>
      <c r="E36" s="51" t="s">
        <v>107</v>
      </c>
      <c r="F36" s="51" t="s">
        <v>108</v>
      </c>
      <c r="G36" s="51" t="s">
        <v>109</v>
      </c>
      <c r="H36" s="1" t="s">
        <v>110</v>
      </c>
      <c r="I36" s="1" t="s">
        <v>111</v>
      </c>
      <c r="J36" s="51" t="s">
        <v>112</v>
      </c>
      <c r="K36" s="51" t="s">
        <v>112</v>
      </c>
      <c r="L36" s="51" t="s">
        <v>112</v>
      </c>
      <c r="M36" s="1">
        <v>2019999</v>
      </c>
      <c r="N36" s="50" t="s">
        <v>648</v>
      </c>
      <c r="O36" s="55">
        <f>DATE(2013,2,4)</f>
        <v>41309</v>
      </c>
      <c r="P36" s="55">
        <f>DATE(2016,6,30)</f>
        <v>42551</v>
      </c>
      <c r="Q36" s="51">
        <v>3940</v>
      </c>
      <c r="S36" s="51">
        <v>2</v>
      </c>
      <c r="U36" s="1">
        <f t="shared" ref="U36:U53" si="30">P36-O36+1</f>
        <v>1243</v>
      </c>
      <c r="V36" s="31">
        <f t="shared" ref="V36:V53" si="31">Q36/U36</f>
        <v>3.169750603378922</v>
      </c>
      <c r="W36" s="31">
        <f t="shared" ref="W36:W53" si="32">IF(U36&gt;365,V36*365,Q36)</f>
        <v>1156.9589702333064</v>
      </c>
      <c r="X36" s="31">
        <f t="shared" ref="X36:X53" si="33">IF(U36&gt;365,W36/800,Q36/800)</f>
        <v>1.4461987127916331</v>
      </c>
      <c r="AA36" s="32">
        <f t="shared" ref="AA36:AA53" si="34">DATE(2016,7,1)</f>
        <v>42552</v>
      </c>
      <c r="AB36" s="32">
        <f t="shared" ref="AB36:AB53" si="35">DATE(2016,12,31)</f>
        <v>42735</v>
      </c>
      <c r="AC36" s="50">
        <v>31</v>
      </c>
      <c r="AD36" s="1">
        <f t="shared" ref="AD36:AD53" si="36">IF(AND(O36&lt;AA36,P36&gt;AB36),AB36-AA36+1,0)</f>
        <v>0</v>
      </c>
      <c r="AE36" s="1">
        <f t="shared" ref="AE36:AE53" si="37">IF(AND(O36&gt;=AA36,P36&gt;AB36,O36&lt;AB36),AB36-O36+1,0)</f>
        <v>0</v>
      </c>
      <c r="AF36" s="1">
        <f t="shared" ref="AF36:AF53" si="38">IF(AND(O36&lt;AA36,P36&lt;=AB36,P36&gt;=AA36),P36-AA36+1,0)</f>
        <v>0</v>
      </c>
      <c r="AG36" s="1">
        <f t="shared" ref="AG36:AG53" si="39">IF(AND(O36&gt;=AA36,P36&lt;=AB36),P36-O36+1,0)</f>
        <v>0</v>
      </c>
      <c r="AH36" s="1">
        <f t="shared" ref="AH36:AH53" si="40">IF(AND(O36&lt;AA36,P36&lt;AA36),(AB36-AA36+1)/2,0)</f>
        <v>92</v>
      </c>
      <c r="AI36" s="23">
        <f t="shared" ref="AI36:AI53" si="41">SUM(AD36:AH36)/(AB36-AA36+1)</f>
        <v>0.5</v>
      </c>
      <c r="AJ36" s="23">
        <f t="shared" ref="AJ36:AJ53" si="42">X36*AI36</f>
        <v>0.72309935639581657</v>
      </c>
      <c r="AK36" s="23">
        <f t="shared" ref="AK36:AK53" si="43">IF(AH36=0,AJ36*AC36,IF(AA36-P36&gt;1095,0,AJ36*(AC36/2)))</f>
        <v>11.208040024135157</v>
      </c>
      <c r="AL36" s="23">
        <f t="shared" ref="AL36:AL53" si="44">AK36*S36</f>
        <v>22.416080048270313</v>
      </c>
      <c r="AM36" s="23">
        <f t="shared" ref="AM36:AM53" si="45">IF(J36="SIM",AL36*50%,0)</f>
        <v>0</v>
      </c>
      <c r="AN36" s="23">
        <f t="shared" ref="AN36:AN53" si="46">AL36+AM36</f>
        <v>22.416080048270313</v>
      </c>
      <c r="AQ36" s="32">
        <f t="shared" ref="AQ36:AQ53" si="47">DATE(2017,1,1)</f>
        <v>42736</v>
      </c>
      <c r="AR36" s="32">
        <f t="shared" ref="AR36:AR53" si="48">DATE(2017,6,30)</f>
        <v>42916</v>
      </c>
      <c r="AS36" s="50">
        <v>31</v>
      </c>
      <c r="AT36" s="1">
        <f t="shared" ref="AT36:AT53" si="49">IF(AND(O36&lt;AQ36,P36&gt;AR36),AR36-AQ36+1,0)</f>
        <v>0</v>
      </c>
      <c r="AU36" s="1">
        <f t="shared" ref="AU36:AU53" si="50">IF(AND(O36&gt;=AQ36,P36&gt;AR36,O36&lt;AR36),AR36-O36+1,0)</f>
        <v>0</v>
      </c>
      <c r="AV36" s="1">
        <f t="shared" ref="AV36:AV53" si="51">IF(AND(O36&lt;AQ36,P36&lt;=AR36,P36&gt;=AQ36),P36-AQ36+1,0)</f>
        <v>0</v>
      </c>
      <c r="AW36" s="1">
        <f t="shared" ref="AW36:AW53" si="52">IF(AND(O36&gt;=AQ36,P36&lt;=AR36),P36-O36+1,0)</f>
        <v>0</v>
      </c>
      <c r="AX36" s="1">
        <f t="shared" ref="AX36:AX53" si="53">IF(AND(O36&lt;AQ36,P36&lt;AQ36),(AR36-AQ36+1)/2,0)</f>
        <v>90.5</v>
      </c>
      <c r="AY36" s="23">
        <f t="shared" ref="AY36:AY53" si="54">SUM(AT36:AX36)/(AR36-AQ36+1)</f>
        <v>0.5</v>
      </c>
      <c r="AZ36" s="23">
        <f t="shared" ref="AZ36:AZ53" si="55">X36*AY36</f>
        <v>0.72309935639581657</v>
      </c>
      <c r="BA36" s="23">
        <f t="shared" ref="BA36:BA53" si="56">IF(AX36=0,AZ36*AS36,IF(AQ36-P36&gt;1095,0,AZ36*(AS36/2)))</f>
        <v>11.208040024135157</v>
      </c>
      <c r="BB36" s="23">
        <f t="shared" ref="BB36:BB53" si="57">BA36*S36</f>
        <v>22.416080048270313</v>
      </c>
      <c r="BC36" s="23">
        <f t="shared" ref="BC36:BC53" si="58">IF(J36="SIM",BB36*50%,0)</f>
        <v>0</v>
      </c>
      <c r="BD36" s="23">
        <f t="shared" ref="BD36:BD53" si="59">BB36+BC36</f>
        <v>22.416080048270313</v>
      </c>
    </row>
    <row r="37" spans="1:56">
      <c r="A37" s="1" t="s">
        <v>20</v>
      </c>
      <c r="B37" s="1" t="s">
        <v>34</v>
      </c>
      <c r="C37" s="1" t="s">
        <v>22</v>
      </c>
      <c r="D37" s="1" t="s">
        <v>35</v>
      </c>
      <c r="E37" s="51" t="s">
        <v>107</v>
      </c>
      <c r="F37" s="51" t="s">
        <v>114</v>
      </c>
      <c r="G37" s="51" t="s">
        <v>109</v>
      </c>
      <c r="H37" s="1" t="s">
        <v>152</v>
      </c>
      <c r="I37" s="1" t="s">
        <v>147</v>
      </c>
      <c r="J37" s="51" t="s">
        <v>112</v>
      </c>
      <c r="K37" s="51" t="s">
        <v>112</v>
      </c>
      <c r="L37" s="51" t="s">
        <v>112</v>
      </c>
      <c r="M37" s="1">
        <v>2020242</v>
      </c>
      <c r="N37" s="52" t="s">
        <v>649</v>
      </c>
      <c r="O37" s="55">
        <f>DATE(2016,2,15)</f>
        <v>42415</v>
      </c>
      <c r="P37" s="55">
        <f>DATE(2018,12,31)</f>
        <v>43465</v>
      </c>
      <c r="Q37" s="51">
        <v>3280</v>
      </c>
      <c r="S37" s="51">
        <v>2.5</v>
      </c>
      <c r="U37" s="1">
        <f t="shared" si="30"/>
        <v>1051</v>
      </c>
      <c r="V37" s="31">
        <f t="shared" si="31"/>
        <v>3.1208372978116081</v>
      </c>
      <c r="W37" s="31">
        <f t="shared" si="32"/>
        <v>1139.105613701237</v>
      </c>
      <c r="X37" s="31">
        <f t="shared" si="33"/>
        <v>1.4238820171265463</v>
      </c>
      <c r="AA37" s="32">
        <f t="shared" si="34"/>
        <v>42552</v>
      </c>
      <c r="AB37" s="32">
        <f t="shared" si="35"/>
        <v>42735</v>
      </c>
      <c r="AC37" s="52">
        <v>37</v>
      </c>
      <c r="AD37" s="1">
        <f t="shared" si="36"/>
        <v>184</v>
      </c>
      <c r="AE37" s="1">
        <f t="shared" si="37"/>
        <v>0</v>
      </c>
      <c r="AF37" s="1">
        <f t="shared" si="38"/>
        <v>0</v>
      </c>
      <c r="AG37" s="1">
        <f t="shared" si="39"/>
        <v>0</v>
      </c>
      <c r="AH37" s="1">
        <f t="shared" si="40"/>
        <v>0</v>
      </c>
      <c r="AI37" s="23">
        <f t="shared" si="41"/>
        <v>1</v>
      </c>
      <c r="AJ37" s="23">
        <f t="shared" si="42"/>
        <v>1.4238820171265463</v>
      </c>
      <c r="AK37" s="23">
        <f t="shared" si="43"/>
        <v>52.68363463368221</v>
      </c>
      <c r="AL37" s="23">
        <f t="shared" si="44"/>
        <v>131.70908658420552</v>
      </c>
      <c r="AM37" s="23">
        <f t="shared" si="45"/>
        <v>0</v>
      </c>
      <c r="AN37" s="23">
        <f t="shared" si="46"/>
        <v>131.70908658420552</v>
      </c>
      <c r="AQ37" s="32">
        <f t="shared" si="47"/>
        <v>42736</v>
      </c>
      <c r="AR37" s="32">
        <f t="shared" si="48"/>
        <v>42916</v>
      </c>
      <c r="AS37" s="52">
        <v>37</v>
      </c>
      <c r="AT37" s="1">
        <f t="shared" si="49"/>
        <v>181</v>
      </c>
      <c r="AU37" s="1">
        <f t="shared" si="50"/>
        <v>0</v>
      </c>
      <c r="AV37" s="1">
        <f t="shared" si="51"/>
        <v>0</v>
      </c>
      <c r="AW37" s="1">
        <f t="shared" si="52"/>
        <v>0</v>
      </c>
      <c r="AX37" s="1">
        <f t="shared" si="53"/>
        <v>0</v>
      </c>
      <c r="AY37" s="23">
        <f t="shared" si="54"/>
        <v>1</v>
      </c>
      <c r="AZ37" s="23">
        <f t="shared" si="55"/>
        <v>1.4238820171265463</v>
      </c>
      <c r="BA37" s="23">
        <f t="shared" si="56"/>
        <v>52.68363463368221</v>
      </c>
      <c r="BB37" s="23">
        <f t="shared" si="57"/>
        <v>131.70908658420552</v>
      </c>
      <c r="BC37" s="23">
        <f t="shared" si="58"/>
        <v>0</v>
      </c>
      <c r="BD37" s="23">
        <f t="shared" si="59"/>
        <v>131.70908658420552</v>
      </c>
    </row>
    <row r="38" spans="1:56">
      <c r="A38" s="1" t="s">
        <v>20</v>
      </c>
      <c r="B38" s="1" t="s">
        <v>34</v>
      </c>
      <c r="C38" s="1" t="s">
        <v>22</v>
      </c>
      <c r="D38" s="1" t="s">
        <v>35</v>
      </c>
      <c r="E38" s="51" t="s">
        <v>107</v>
      </c>
      <c r="F38" s="51" t="s">
        <v>294</v>
      </c>
      <c r="G38" s="51" t="s">
        <v>109</v>
      </c>
      <c r="H38" s="1" t="s">
        <v>620</v>
      </c>
      <c r="I38" s="1" t="s">
        <v>147</v>
      </c>
      <c r="J38" s="51" t="s">
        <v>148</v>
      </c>
      <c r="K38" s="51" t="s">
        <v>112</v>
      </c>
      <c r="L38" s="51" t="s">
        <v>112</v>
      </c>
      <c r="M38" s="1">
        <v>2020243</v>
      </c>
      <c r="N38" s="52" t="s">
        <v>650</v>
      </c>
      <c r="O38" s="55">
        <f>DATE(2016,2,15)</f>
        <v>42415</v>
      </c>
      <c r="P38" s="55">
        <f>DATE(2018,12,31)</f>
        <v>43465</v>
      </c>
      <c r="Q38" s="51">
        <v>3000</v>
      </c>
      <c r="S38" s="51">
        <v>2.5</v>
      </c>
      <c r="U38" s="1">
        <f t="shared" si="30"/>
        <v>1051</v>
      </c>
      <c r="V38" s="31">
        <f t="shared" si="31"/>
        <v>2.8544243577545196</v>
      </c>
      <c r="W38" s="31">
        <f t="shared" si="32"/>
        <v>1041.8648905803996</v>
      </c>
      <c r="X38" s="31">
        <f t="shared" si="33"/>
        <v>1.3023311132254995</v>
      </c>
      <c r="AA38" s="32">
        <f t="shared" si="34"/>
        <v>42552</v>
      </c>
      <c r="AB38" s="32">
        <f t="shared" si="35"/>
        <v>42735</v>
      </c>
      <c r="AC38" s="52">
        <v>35</v>
      </c>
      <c r="AD38" s="1">
        <f t="shared" si="36"/>
        <v>184</v>
      </c>
      <c r="AE38" s="1">
        <f t="shared" si="37"/>
        <v>0</v>
      </c>
      <c r="AF38" s="1">
        <f t="shared" si="38"/>
        <v>0</v>
      </c>
      <c r="AG38" s="1">
        <f t="shared" si="39"/>
        <v>0</v>
      </c>
      <c r="AH38" s="1">
        <f t="shared" si="40"/>
        <v>0</v>
      </c>
      <c r="AI38" s="23">
        <f t="shared" si="41"/>
        <v>1</v>
      </c>
      <c r="AJ38" s="23">
        <f t="shared" si="42"/>
        <v>1.3023311132254995</v>
      </c>
      <c r="AK38" s="23">
        <f t="shared" si="43"/>
        <v>45.581588962892482</v>
      </c>
      <c r="AL38" s="23">
        <f t="shared" si="44"/>
        <v>113.95397240723121</v>
      </c>
      <c r="AM38" s="23">
        <f t="shared" si="45"/>
        <v>56.976986203615603</v>
      </c>
      <c r="AN38" s="23">
        <f t="shared" si="46"/>
        <v>170.9309586108468</v>
      </c>
      <c r="AQ38" s="32">
        <f t="shared" si="47"/>
        <v>42736</v>
      </c>
      <c r="AR38" s="32">
        <f t="shared" si="48"/>
        <v>42916</v>
      </c>
      <c r="AS38" s="52">
        <v>34</v>
      </c>
      <c r="AT38" s="1">
        <f t="shared" si="49"/>
        <v>181</v>
      </c>
      <c r="AU38" s="1">
        <f t="shared" si="50"/>
        <v>0</v>
      </c>
      <c r="AV38" s="1">
        <f t="shared" si="51"/>
        <v>0</v>
      </c>
      <c r="AW38" s="1">
        <f t="shared" si="52"/>
        <v>0</v>
      </c>
      <c r="AX38" s="1">
        <f t="shared" si="53"/>
        <v>0</v>
      </c>
      <c r="AY38" s="23">
        <f t="shared" si="54"/>
        <v>1</v>
      </c>
      <c r="AZ38" s="23">
        <f t="shared" si="55"/>
        <v>1.3023311132254995</v>
      </c>
      <c r="BA38" s="23">
        <f t="shared" si="56"/>
        <v>44.279257849666983</v>
      </c>
      <c r="BB38" s="23">
        <f t="shared" si="57"/>
        <v>110.69814462416745</v>
      </c>
      <c r="BC38" s="23">
        <f t="shared" si="58"/>
        <v>55.349072312083727</v>
      </c>
      <c r="BD38" s="23">
        <f t="shared" si="59"/>
        <v>166.04721693625117</v>
      </c>
    </row>
    <row r="39" spans="1:56">
      <c r="A39" s="1" t="s">
        <v>20</v>
      </c>
      <c r="B39" s="1" t="s">
        <v>34</v>
      </c>
      <c r="C39" s="1" t="s">
        <v>22</v>
      </c>
      <c r="D39" s="1" t="s">
        <v>35</v>
      </c>
      <c r="E39" s="51" t="s">
        <v>107</v>
      </c>
      <c r="F39" s="51" t="s">
        <v>294</v>
      </c>
      <c r="G39" s="51" t="s">
        <v>109</v>
      </c>
      <c r="H39" s="1" t="s">
        <v>624</v>
      </c>
      <c r="I39" s="1" t="s">
        <v>234</v>
      </c>
      <c r="J39" s="51" t="s">
        <v>112</v>
      </c>
      <c r="K39" s="51" t="s">
        <v>112</v>
      </c>
      <c r="L39" s="51" t="s">
        <v>112</v>
      </c>
      <c r="M39" s="1">
        <v>2020245</v>
      </c>
      <c r="N39" s="52" t="s">
        <v>651</v>
      </c>
      <c r="O39" s="55">
        <f>DATE(2016,2,15)</f>
        <v>42415</v>
      </c>
      <c r="P39" s="55">
        <f>DATE(2018,12,31)</f>
        <v>43465</v>
      </c>
      <c r="Q39" s="51">
        <v>2640</v>
      </c>
      <c r="S39" s="51">
        <v>1</v>
      </c>
      <c r="U39" s="1">
        <f t="shared" si="30"/>
        <v>1051</v>
      </c>
      <c r="V39" s="31">
        <f t="shared" si="31"/>
        <v>2.511893434823977</v>
      </c>
      <c r="W39" s="31">
        <f t="shared" si="32"/>
        <v>916.84110371075155</v>
      </c>
      <c r="X39" s="31">
        <f t="shared" si="33"/>
        <v>1.1460513796384395</v>
      </c>
      <c r="AA39" s="32">
        <f t="shared" si="34"/>
        <v>42552</v>
      </c>
      <c r="AB39" s="32">
        <f t="shared" si="35"/>
        <v>42735</v>
      </c>
      <c r="AC39" s="52">
        <v>37</v>
      </c>
      <c r="AD39" s="1">
        <f t="shared" si="36"/>
        <v>184</v>
      </c>
      <c r="AE39" s="1">
        <f t="shared" si="37"/>
        <v>0</v>
      </c>
      <c r="AF39" s="1">
        <f t="shared" si="38"/>
        <v>0</v>
      </c>
      <c r="AG39" s="1">
        <f t="shared" si="39"/>
        <v>0</v>
      </c>
      <c r="AH39" s="1">
        <f t="shared" si="40"/>
        <v>0</v>
      </c>
      <c r="AI39" s="23">
        <f t="shared" si="41"/>
        <v>1</v>
      </c>
      <c r="AJ39" s="23">
        <f t="shared" si="42"/>
        <v>1.1460513796384395</v>
      </c>
      <c r="AK39" s="23">
        <f t="shared" si="43"/>
        <v>42.403901046622259</v>
      </c>
      <c r="AL39" s="23">
        <f t="shared" si="44"/>
        <v>42.403901046622259</v>
      </c>
      <c r="AM39" s="23">
        <f t="shared" si="45"/>
        <v>0</v>
      </c>
      <c r="AN39" s="23">
        <f t="shared" si="46"/>
        <v>42.403901046622259</v>
      </c>
      <c r="AQ39" s="32">
        <f t="shared" si="47"/>
        <v>42736</v>
      </c>
      <c r="AR39" s="32">
        <f t="shared" si="48"/>
        <v>42916</v>
      </c>
      <c r="AS39" s="52">
        <v>35</v>
      </c>
      <c r="AT39" s="1">
        <f t="shared" si="49"/>
        <v>181</v>
      </c>
      <c r="AU39" s="1">
        <f t="shared" si="50"/>
        <v>0</v>
      </c>
      <c r="AV39" s="1">
        <f t="shared" si="51"/>
        <v>0</v>
      </c>
      <c r="AW39" s="1">
        <f t="shared" si="52"/>
        <v>0</v>
      </c>
      <c r="AX39" s="1">
        <f t="shared" si="53"/>
        <v>0</v>
      </c>
      <c r="AY39" s="23">
        <f t="shared" si="54"/>
        <v>1</v>
      </c>
      <c r="AZ39" s="23">
        <f t="shared" si="55"/>
        <v>1.1460513796384395</v>
      </c>
      <c r="BA39" s="23">
        <f t="shared" si="56"/>
        <v>40.11179828734538</v>
      </c>
      <c r="BB39" s="23">
        <f t="shared" si="57"/>
        <v>40.11179828734538</v>
      </c>
      <c r="BC39" s="23">
        <f t="shared" si="58"/>
        <v>0</v>
      </c>
      <c r="BD39" s="23">
        <f t="shared" si="59"/>
        <v>40.11179828734538</v>
      </c>
    </row>
    <row r="40" spans="1:56">
      <c r="A40" s="1" t="s">
        <v>20</v>
      </c>
      <c r="B40" s="1" t="s">
        <v>34</v>
      </c>
      <c r="C40" s="1" t="s">
        <v>22</v>
      </c>
      <c r="D40" s="1" t="s">
        <v>35</v>
      </c>
      <c r="E40" s="51" t="s">
        <v>107</v>
      </c>
      <c r="F40" s="51" t="s">
        <v>108</v>
      </c>
      <c r="G40" s="51" t="s">
        <v>109</v>
      </c>
      <c r="H40" s="1" t="s">
        <v>213</v>
      </c>
      <c r="I40" s="1" t="s">
        <v>214</v>
      </c>
      <c r="J40" s="51" t="s">
        <v>112</v>
      </c>
      <c r="K40" s="51" t="s">
        <v>112</v>
      </c>
      <c r="L40" s="51" t="s">
        <v>112</v>
      </c>
      <c r="M40" s="1">
        <v>2028255</v>
      </c>
      <c r="N40" s="52" t="s">
        <v>652</v>
      </c>
      <c r="O40" s="55">
        <f>DATE(2016,5,23)</f>
        <v>42513</v>
      </c>
      <c r="P40" s="55">
        <f>DATE(2019,12,31)</f>
        <v>43830</v>
      </c>
      <c r="Q40" s="51">
        <v>3460</v>
      </c>
      <c r="S40" s="51">
        <v>1.5</v>
      </c>
      <c r="U40" s="1">
        <f t="shared" si="30"/>
        <v>1318</v>
      </c>
      <c r="V40" s="31">
        <f t="shared" si="31"/>
        <v>2.6251896813353568</v>
      </c>
      <c r="W40" s="31">
        <f t="shared" si="32"/>
        <v>958.19423368740524</v>
      </c>
      <c r="X40" s="31">
        <f t="shared" si="33"/>
        <v>1.1977427921092565</v>
      </c>
      <c r="AA40" s="32">
        <f t="shared" si="34"/>
        <v>42552</v>
      </c>
      <c r="AB40" s="32">
        <f t="shared" si="35"/>
        <v>42735</v>
      </c>
      <c r="AC40" s="52">
        <v>37</v>
      </c>
      <c r="AD40" s="1">
        <f t="shared" si="36"/>
        <v>184</v>
      </c>
      <c r="AE40" s="1">
        <f t="shared" si="37"/>
        <v>0</v>
      </c>
      <c r="AF40" s="1">
        <f t="shared" si="38"/>
        <v>0</v>
      </c>
      <c r="AG40" s="1">
        <f t="shared" si="39"/>
        <v>0</v>
      </c>
      <c r="AH40" s="1">
        <f t="shared" si="40"/>
        <v>0</v>
      </c>
      <c r="AI40" s="23">
        <f t="shared" si="41"/>
        <v>1</v>
      </c>
      <c r="AJ40" s="23">
        <f t="shared" si="42"/>
        <v>1.1977427921092565</v>
      </c>
      <c r="AK40" s="23">
        <f t="shared" si="43"/>
        <v>44.316483308042493</v>
      </c>
      <c r="AL40" s="23">
        <f t="shared" si="44"/>
        <v>66.474724962063732</v>
      </c>
      <c r="AM40" s="23">
        <f t="shared" si="45"/>
        <v>0</v>
      </c>
      <c r="AN40" s="23">
        <f t="shared" si="46"/>
        <v>66.474724962063732</v>
      </c>
      <c r="AQ40" s="32">
        <f t="shared" si="47"/>
        <v>42736</v>
      </c>
      <c r="AR40" s="32">
        <f t="shared" si="48"/>
        <v>42916</v>
      </c>
      <c r="AS40" s="52">
        <v>36</v>
      </c>
      <c r="AT40" s="1">
        <f t="shared" si="49"/>
        <v>181</v>
      </c>
      <c r="AU40" s="1">
        <f t="shared" si="50"/>
        <v>0</v>
      </c>
      <c r="AV40" s="1">
        <f t="shared" si="51"/>
        <v>0</v>
      </c>
      <c r="AW40" s="1">
        <f t="shared" si="52"/>
        <v>0</v>
      </c>
      <c r="AX40" s="1">
        <f t="shared" si="53"/>
        <v>0</v>
      </c>
      <c r="AY40" s="23">
        <f t="shared" si="54"/>
        <v>1</v>
      </c>
      <c r="AZ40" s="23">
        <f t="shared" si="55"/>
        <v>1.1977427921092565</v>
      </c>
      <c r="BA40" s="23">
        <f t="shared" si="56"/>
        <v>43.118740515933233</v>
      </c>
      <c r="BB40" s="23">
        <f t="shared" si="57"/>
        <v>64.678110773899846</v>
      </c>
      <c r="BC40" s="23">
        <f t="shared" si="58"/>
        <v>0</v>
      </c>
      <c r="BD40" s="23">
        <f t="shared" si="59"/>
        <v>64.678110773899846</v>
      </c>
    </row>
    <row r="41" spans="1:56">
      <c r="A41" s="1" t="s">
        <v>20</v>
      </c>
      <c r="B41" s="1" t="s">
        <v>34</v>
      </c>
      <c r="C41" s="1" t="s">
        <v>22</v>
      </c>
      <c r="D41" s="1" t="s">
        <v>35</v>
      </c>
      <c r="E41" s="51" t="s">
        <v>107</v>
      </c>
      <c r="F41" s="51" t="s">
        <v>108</v>
      </c>
      <c r="G41" s="51" t="s">
        <v>109</v>
      </c>
      <c r="H41" s="1" t="s">
        <v>124</v>
      </c>
      <c r="I41" s="1" t="s">
        <v>125</v>
      </c>
      <c r="J41" s="51" t="s">
        <v>112</v>
      </c>
      <c r="K41" s="51" t="s">
        <v>112</v>
      </c>
      <c r="L41" s="51" t="s">
        <v>112</v>
      </c>
      <c r="M41" s="1">
        <v>2028256</v>
      </c>
      <c r="N41" s="52" t="s">
        <v>653</v>
      </c>
      <c r="O41" s="55">
        <f>DATE(2016,5,23)</f>
        <v>42513</v>
      </c>
      <c r="P41" s="55">
        <f>DATE(2019,12,31)</f>
        <v>43830</v>
      </c>
      <c r="Q41" s="51">
        <v>4060</v>
      </c>
      <c r="S41" s="51">
        <v>2.5</v>
      </c>
      <c r="U41" s="1">
        <f t="shared" si="30"/>
        <v>1318</v>
      </c>
      <c r="V41" s="31">
        <f t="shared" si="31"/>
        <v>3.0804248861911989</v>
      </c>
      <c r="W41" s="31">
        <f t="shared" si="32"/>
        <v>1124.3550834597877</v>
      </c>
      <c r="X41" s="31">
        <f t="shared" si="33"/>
        <v>1.4054438543247345</v>
      </c>
      <c r="AA41" s="32">
        <f t="shared" si="34"/>
        <v>42552</v>
      </c>
      <c r="AB41" s="32">
        <f t="shared" si="35"/>
        <v>42735</v>
      </c>
      <c r="AC41" s="52">
        <v>33</v>
      </c>
      <c r="AD41" s="1">
        <f t="shared" si="36"/>
        <v>184</v>
      </c>
      <c r="AE41" s="1">
        <f t="shared" si="37"/>
        <v>0</v>
      </c>
      <c r="AF41" s="1">
        <f t="shared" si="38"/>
        <v>0</v>
      </c>
      <c r="AG41" s="1">
        <f t="shared" si="39"/>
        <v>0</v>
      </c>
      <c r="AH41" s="1">
        <f t="shared" si="40"/>
        <v>0</v>
      </c>
      <c r="AI41" s="23">
        <f t="shared" si="41"/>
        <v>1</v>
      </c>
      <c r="AJ41" s="23">
        <f t="shared" si="42"/>
        <v>1.4054438543247345</v>
      </c>
      <c r="AK41" s="23">
        <f t="shared" si="43"/>
        <v>46.379647192716241</v>
      </c>
      <c r="AL41" s="23">
        <f t="shared" si="44"/>
        <v>115.94911798179061</v>
      </c>
      <c r="AM41" s="23">
        <f t="shared" si="45"/>
        <v>0</v>
      </c>
      <c r="AN41" s="23">
        <f t="shared" si="46"/>
        <v>115.94911798179061</v>
      </c>
      <c r="AQ41" s="32">
        <f t="shared" si="47"/>
        <v>42736</v>
      </c>
      <c r="AR41" s="32">
        <f t="shared" si="48"/>
        <v>42916</v>
      </c>
      <c r="AS41" s="52">
        <v>30</v>
      </c>
      <c r="AT41" s="1">
        <f t="shared" si="49"/>
        <v>181</v>
      </c>
      <c r="AU41" s="1">
        <f t="shared" si="50"/>
        <v>0</v>
      </c>
      <c r="AV41" s="1">
        <f t="shared" si="51"/>
        <v>0</v>
      </c>
      <c r="AW41" s="1">
        <f t="shared" si="52"/>
        <v>0</v>
      </c>
      <c r="AX41" s="1">
        <f t="shared" si="53"/>
        <v>0</v>
      </c>
      <c r="AY41" s="23">
        <f t="shared" si="54"/>
        <v>1</v>
      </c>
      <c r="AZ41" s="23">
        <f t="shared" si="55"/>
        <v>1.4054438543247345</v>
      </c>
      <c r="BA41" s="23">
        <f t="shared" si="56"/>
        <v>42.163315629742037</v>
      </c>
      <c r="BB41" s="23">
        <f t="shared" si="57"/>
        <v>105.4082890743551</v>
      </c>
      <c r="BC41" s="23">
        <f t="shared" si="58"/>
        <v>0</v>
      </c>
      <c r="BD41" s="23">
        <f t="shared" si="59"/>
        <v>105.4082890743551</v>
      </c>
    </row>
    <row r="42" spans="1:56">
      <c r="A42" s="1" t="s">
        <v>20</v>
      </c>
      <c r="B42" s="1" t="s">
        <v>34</v>
      </c>
      <c r="C42" s="1" t="s">
        <v>22</v>
      </c>
      <c r="D42" s="1" t="s">
        <v>35</v>
      </c>
      <c r="E42" s="51" t="s">
        <v>107</v>
      </c>
      <c r="F42" s="51" t="s">
        <v>108</v>
      </c>
      <c r="G42" s="51" t="s">
        <v>109</v>
      </c>
      <c r="H42" s="1" t="s">
        <v>175</v>
      </c>
      <c r="I42" s="1" t="s">
        <v>147</v>
      </c>
      <c r="J42" s="51" t="s">
        <v>148</v>
      </c>
      <c r="K42" s="51" t="s">
        <v>112</v>
      </c>
      <c r="L42" s="51" t="s">
        <v>112</v>
      </c>
      <c r="M42" s="1">
        <v>2028257</v>
      </c>
      <c r="N42" s="52" t="s">
        <v>654</v>
      </c>
      <c r="O42" s="55">
        <f>DATE(2016,8,16)</f>
        <v>42598</v>
      </c>
      <c r="P42" s="55">
        <f>DATE(2018,6,30)</f>
        <v>43281</v>
      </c>
      <c r="Q42" s="51">
        <v>1260</v>
      </c>
      <c r="S42" s="51">
        <v>2.5</v>
      </c>
      <c r="U42" s="1">
        <f t="shared" si="30"/>
        <v>684</v>
      </c>
      <c r="V42" s="31">
        <f t="shared" si="31"/>
        <v>1.8421052631578947</v>
      </c>
      <c r="W42" s="31">
        <f t="shared" si="32"/>
        <v>672.36842105263156</v>
      </c>
      <c r="X42" s="31">
        <f t="shared" si="33"/>
        <v>0.84046052631578949</v>
      </c>
      <c r="AA42" s="32">
        <f t="shared" si="34"/>
        <v>42552</v>
      </c>
      <c r="AB42" s="32">
        <f t="shared" si="35"/>
        <v>42735</v>
      </c>
      <c r="AC42" s="52">
        <v>39</v>
      </c>
      <c r="AD42" s="1">
        <f t="shared" si="36"/>
        <v>0</v>
      </c>
      <c r="AE42" s="1">
        <f t="shared" si="37"/>
        <v>138</v>
      </c>
      <c r="AF42" s="1">
        <f t="shared" si="38"/>
        <v>0</v>
      </c>
      <c r="AG42" s="1">
        <f t="shared" si="39"/>
        <v>0</v>
      </c>
      <c r="AH42" s="1">
        <f t="shared" si="40"/>
        <v>0</v>
      </c>
      <c r="AI42" s="23">
        <f t="shared" si="41"/>
        <v>0.75</v>
      </c>
      <c r="AJ42" s="23">
        <f t="shared" si="42"/>
        <v>0.63034539473684215</v>
      </c>
      <c r="AK42" s="23">
        <f t="shared" si="43"/>
        <v>24.583470394736842</v>
      </c>
      <c r="AL42" s="23">
        <f t="shared" si="44"/>
        <v>61.45867598684211</v>
      </c>
      <c r="AM42" s="23">
        <f t="shared" si="45"/>
        <v>30.729337993421055</v>
      </c>
      <c r="AN42" s="23">
        <f t="shared" si="46"/>
        <v>92.188013980263165</v>
      </c>
      <c r="AQ42" s="32">
        <f t="shared" si="47"/>
        <v>42736</v>
      </c>
      <c r="AR42" s="32">
        <f t="shared" si="48"/>
        <v>42916</v>
      </c>
      <c r="AS42" s="52">
        <v>39</v>
      </c>
      <c r="AT42" s="1">
        <f t="shared" si="49"/>
        <v>181</v>
      </c>
      <c r="AU42" s="1">
        <f t="shared" si="50"/>
        <v>0</v>
      </c>
      <c r="AV42" s="1">
        <f t="shared" si="51"/>
        <v>0</v>
      </c>
      <c r="AW42" s="1">
        <f t="shared" si="52"/>
        <v>0</v>
      </c>
      <c r="AX42" s="1">
        <f t="shared" si="53"/>
        <v>0</v>
      </c>
      <c r="AY42" s="23">
        <f t="shared" si="54"/>
        <v>1</v>
      </c>
      <c r="AZ42" s="23">
        <f t="shared" si="55"/>
        <v>0.84046052631578949</v>
      </c>
      <c r="BA42" s="23">
        <f t="shared" si="56"/>
        <v>32.777960526315788</v>
      </c>
      <c r="BB42" s="23">
        <f t="shared" si="57"/>
        <v>81.944901315789465</v>
      </c>
      <c r="BC42" s="23">
        <f t="shared" si="58"/>
        <v>40.972450657894733</v>
      </c>
      <c r="BD42" s="23">
        <f t="shared" si="59"/>
        <v>122.91735197368419</v>
      </c>
    </row>
    <row r="43" spans="1:56">
      <c r="A43" s="1" t="s">
        <v>20</v>
      </c>
      <c r="B43" s="1" t="s">
        <v>34</v>
      </c>
      <c r="C43" s="1" t="s">
        <v>22</v>
      </c>
      <c r="D43" s="1" t="s">
        <v>35</v>
      </c>
      <c r="E43" s="51" t="s">
        <v>107</v>
      </c>
      <c r="F43" s="51" t="s">
        <v>232</v>
      </c>
      <c r="G43" s="51" t="s">
        <v>109</v>
      </c>
      <c r="H43" s="1" t="s">
        <v>655</v>
      </c>
      <c r="I43" s="1" t="s">
        <v>125</v>
      </c>
      <c r="J43" s="51" t="s">
        <v>112</v>
      </c>
      <c r="K43" s="51" t="s">
        <v>112</v>
      </c>
      <c r="L43" s="51" t="s">
        <v>112</v>
      </c>
      <c r="M43" s="1">
        <v>2037950</v>
      </c>
      <c r="N43" s="50" t="s">
        <v>656</v>
      </c>
      <c r="O43" s="55">
        <f>DATE(2016,8,16)</f>
        <v>42598</v>
      </c>
      <c r="P43" s="55">
        <f>DATE(2016,12,23)</f>
        <v>42727</v>
      </c>
      <c r="Q43" s="51">
        <v>160</v>
      </c>
      <c r="S43" s="51">
        <v>1</v>
      </c>
      <c r="U43" s="1">
        <f t="shared" si="30"/>
        <v>130</v>
      </c>
      <c r="V43" s="31">
        <f t="shared" si="31"/>
        <v>1.2307692307692308</v>
      </c>
      <c r="W43" s="31">
        <f t="shared" si="32"/>
        <v>160</v>
      </c>
      <c r="X43" s="31">
        <f t="shared" si="33"/>
        <v>0.2</v>
      </c>
      <c r="AA43" s="32">
        <f t="shared" si="34"/>
        <v>42552</v>
      </c>
      <c r="AB43" s="32">
        <f t="shared" si="35"/>
        <v>42735</v>
      </c>
      <c r="AC43" s="50">
        <v>22</v>
      </c>
      <c r="AD43" s="1">
        <f t="shared" si="36"/>
        <v>0</v>
      </c>
      <c r="AE43" s="1">
        <f t="shared" si="37"/>
        <v>0</v>
      </c>
      <c r="AF43" s="1">
        <f t="shared" si="38"/>
        <v>0</v>
      </c>
      <c r="AG43" s="1">
        <f t="shared" si="39"/>
        <v>130</v>
      </c>
      <c r="AH43" s="1">
        <f t="shared" si="40"/>
        <v>0</v>
      </c>
      <c r="AI43" s="23">
        <f t="shared" si="41"/>
        <v>0.70652173913043481</v>
      </c>
      <c r="AJ43" s="23">
        <f t="shared" si="42"/>
        <v>0.14130434782608697</v>
      </c>
      <c r="AK43" s="23">
        <f t="shared" si="43"/>
        <v>3.1086956521739135</v>
      </c>
      <c r="AL43" s="23">
        <f t="shared" si="44"/>
        <v>3.1086956521739135</v>
      </c>
      <c r="AM43" s="23">
        <f t="shared" si="45"/>
        <v>0</v>
      </c>
      <c r="AN43" s="23">
        <f t="shared" si="46"/>
        <v>3.1086956521739135</v>
      </c>
      <c r="AQ43" s="32">
        <f t="shared" si="47"/>
        <v>42736</v>
      </c>
      <c r="AR43" s="32">
        <f t="shared" si="48"/>
        <v>42916</v>
      </c>
      <c r="AS43" s="50">
        <v>22</v>
      </c>
      <c r="AT43" s="1">
        <f t="shared" si="49"/>
        <v>0</v>
      </c>
      <c r="AU43" s="1">
        <f t="shared" si="50"/>
        <v>0</v>
      </c>
      <c r="AV43" s="1">
        <f t="shared" si="51"/>
        <v>0</v>
      </c>
      <c r="AW43" s="1">
        <f t="shared" si="52"/>
        <v>0</v>
      </c>
      <c r="AX43" s="1">
        <f t="shared" si="53"/>
        <v>90.5</v>
      </c>
      <c r="AY43" s="23">
        <f t="shared" si="54"/>
        <v>0.5</v>
      </c>
      <c r="AZ43" s="23">
        <f t="shared" si="55"/>
        <v>0.1</v>
      </c>
      <c r="BA43" s="23">
        <f t="shared" si="56"/>
        <v>1.1000000000000001</v>
      </c>
      <c r="BB43" s="23">
        <f t="shared" si="57"/>
        <v>1.1000000000000001</v>
      </c>
      <c r="BC43" s="23">
        <f t="shared" si="58"/>
        <v>0</v>
      </c>
      <c r="BD43" s="23">
        <f t="shared" si="59"/>
        <v>1.1000000000000001</v>
      </c>
    </row>
    <row r="44" spans="1:56">
      <c r="A44" s="1" t="s">
        <v>20</v>
      </c>
      <c r="B44" s="1" t="s">
        <v>34</v>
      </c>
      <c r="C44" s="1" t="s">
        <v>22</v>
      </c>
      <c r="D44" s="1" t="s">
        <v>35</v>
      </c>
      <c r="E44" s="51" t="s">
        <v>107</v>
      </c>
      <c r="F44" s="51" t="s">
        <v>232</v>
      </c>
      <c r="G44" s="51" t="s">
        <v>109</v>
      </c>
      <c r="H44" s="1" t="s">
        <v>657</v>
      </c>
      <c r="J44" s="51" t="s">
        <v>112</v>
      </c>
      <c r="K44" s="51" t="s">
        <v>112</v>
      </c>
      <c r="L44" s="51" t="s">
        <v>112</v>
      </c>
      <c r="M44" s="1">
        <v>2037957</v>
      </c>
      <c r="N44" s="50" t="s">
        <v>658</v>
      </c>
      <c r="O44" s="55">
        <f>DATE(2016,8,16)</f>
        <v>42598</v>
      </c>
      <c r="P44" s="55">
        <f>DATE(2016,11,30)</f>
        <v>42704</v>
      </c>
      <c r="Q44" s="51">
        <v>160</v>
      </c>
      <c r="S44" s="51">
        <v>1</v>
      </c>
      <c r="U44" s="1">
        <f t="shared" si="30"/>
        <v>107</v>
      </c>
      <c r="V44" s="31">
        <f t="shared" si="31"/>
        <v>1.4953271028037383</v>
      </c>
      <c r="W44" s="31">
        <f t="shared" si="32"/>
        <v>160</v>
      </c>
      <c r="X44" s="31">
        <f t="shared" si="33"/>
        <v>0.2</v>
      </c>
      <c r="AA44" s="32">
        <f t="shared" si="34"/>
        <v>42552</v>
      </c>
      <c r="AB44" s="32">
        <f t="shared" si="35"/>
        <v>42735</v>
      </c>
      <c r="AC44" s="50">
        <v>21</v>
      </c>
      <c r="AD44" s="1">
        <f t="shared" si="36"/>
        <v>0</v>
      </c>
      <c r="AE44" s="1">
        <f t="shared" si="37"/>
        <v>0</v>
      </c>
      <c r="AF44" s="1">
        <f t="shared" si="38"/>
        <v>0</v>
      </c>
      <c r="AG44" s="1">
        <f t="shared" si="39"/>
        <v>107</v>
      </c>
      <c r="AH44" s="1">
        <f t="shared" si="40"/>
        <v>0</v>
      </c>
      <c r="AI44" s="23">
        <f t="shared" si="41"/>
        <v>0.58152173913043481</v>
      </c>
      <c r="AJ44" s="23">
        <f t="shared" si="42"/>
        <v>0.11630434782608697</v>
      </c>
      <c r="AK44" s="23">
        <f t="shared" si="43"/>
        <v>2.4423913043478263</v>
      </c>
      <c r="AL44" s="23">
        <f t="shared" si="44"/>
        <v>2.4423913043478263</v>
      </c>
      <c r="AM44" s="23">
        <f t="shared" si="45"/>
        <v>0</v>
      </c>
      <c r="AN44" s="23">
        <f t="shared" si="46"/>
        <v>2.4423913043478263</v>
      </c>
      <c r="AQ44" s="32">
        <f t="shared" si="47"/>
        <v>42736</v>
      </c>
      <c r="AR44" s="32">
        <f t="shared" si="48"/>
        <v>42916</v>
      </c>
      <c r="AS44" s="50">
        <v>21</v>
      </c>
      <c r="AT44" s="1">
        <f t="shared" si="49"/>
        <v>0</v>
      </c>
      <c r="AU44" s="1">
        <f t="shared" si="50"/>
        <v>0</v>
      </c>
      <c r="AV44" s="1">
        <f t="shared" si="51"/>
        <v>0</v>
      </c>
      <c r="AW44" s="1">
        <f t="shared" si="52"/>
        <v>0</v>
      </c>
      <c r="AX44" s="1">
        <f t="shared" si="53"/>
        <v>90.5</v>
      </c>
      <c r="AY44" s="23">
        <f t="shared" si="54"/>
        <v>0.5</v>
      </c>
      <c r="AZ44" s="23">
        <f t="shared" si="55"/>
        <v>0.1</v>
      </c>
      <c r="BA44" s="23">
        <f t="shared" si="56"/>
        <v>1.05</v>
      </c>
      <c r="BB44" s="23">
        <f t="shared" si="57"/>
        <v>1.05</v>
      </c>
      <c r="BC44" s="23">
        <f t="shared" si="58"/>
        <v>0</v>
      </c>
      <c r="BD44" s="23">
        <f t="shared" si="59"/>
        <v>1.05</v>
      </c>
    </row>
    <row r="45" spans="1:56">
      <c r="A45" s="1" t="s">
        <v>20</v>
      </c>
      <c r="B45" s="1" t="s">
        <v>34</v>
      </c>
      <c r="C45" s="1" t="s">
        <v>22</v>
      </c>
      <c r="D45" s="1" t="s">
        <v>35</v>
      </c>
      <c r="E45" s="51" t="s">
        <v>107</v>
      </c>
      <c r="F45" s="51" t="s">
        <v>232</v>
      </c>
      <c r="G45" s="51" t="s">
        <v>109</v>
      </c>
      <c r="H45" s="1" t="s">
        <v>659</v>
      </c>
      <c r="J45" s="51" t="s">
        <v>112</v>
      </c>
      <c r="K45" s="51" t="s">
        <v>112</v>
      </c>
      <c r="L45" s="51" t="s">
        <v>112</v>
      </c>
      <c r="M45" s="1">
        <v>2037962</v>
      </c>
      <c r="N45" s="50" t="s">
        <v>660</v>
      </c>
      <c r="O45" s="55">
        <f>DATE(2016,8,16)</f>
        <v>42598</v>
      </c>
      <c r="P45" s="55">
        <f>DATE(2016,11,3)</f>
        <v>42677</v>
      </c>
      <c r="Q45" s="51">
        <v>160</v>
      </c>
      <c r="S45" s="51">
        <v>1</v>
      </c>
      <c r="U45" s="1">
        <f t="shared" si="30"/>
        <v>80</v>
      </c>
      <c r="V45" s="31">
        <f t="shared" si="31"/>
        <v>2</v>
      </c>
      <c r="W45" s="31">
        <f t="shared" si="32"/>
        <v>160</v>
      </c>
      <c r="X45" s="31">
        <f t="shared" si="33"/>
        <v>0.2</v>
      </c>
      <c r="AA45" s="32">
        <f t="shared" si="34"/>
        <v>42552</v>
      </c>
      <c r="AB45" s="32">
        <f t="shared" si="35"/>
        <v>42735</v>
      </c>
      <c r="AC45" s="50">
        <v>32</v>
      </c>
      <c r="AD45" s="1">
        <f t="shared" si="36"/>
        <v>0</v>
      </c>
      <c r="AE45" s="1">
        <f t="shared" si="37"/>
        <v>0</v>
      </c>
      <c r="AF45" s="1">
        <f t="shared" si="38"/>
        <v>0</v>
      </c>
      <c r="AG45" s="1">
        <f t="shared" si="39"/>
        <v>80</v>
      </c>
      <c r="AH45" s="1">
        <f t="shared" si="40"/>
        <v>0</v>
      </c>
      <c r="AI45" s="23">
        <f t="shared" si="41"/>
        <v>0.43478260869565216</v>
      </c>
      <c r="AJ45" s="23">
        <f t="shared" si="42"/>
        <v>8.6956521739130432E-2</v>
      </c>
      <c r="AK45" s="23">
        <f t="shared" si="43"/>
        <v>2.7826086956521738</v>
      </c>
      <c r="AL45" s="23">
        <f t="shared" si="44"/>
        <v>2.7826086956521738</v>
      </c>
      <c r="AM45" s="23">
        <f t="shared" si="45"/>
        <v>0</v>
      </c>
      <c r="AN45" s="23">
        <f t="shared" si="46"/>
        <v>2.7826086956521738</v>
      </c>
      <c r="AQ45" s="32">
        <f t="shared" si="47"/>
        <v>42736</v>
      </c>
      <c r="AR45" s="32">
        <f t="shared" si="48"/>
        <v>42916</v>
      </c>
      <c r="AS45" s="50">
        <v>32</v>
      </c>
      <c r="AT45" s="1">
        <f t="shared" si="49"/>
        <v>0</v>
      </c>
      <c r="AU45" s="1">
        <f t="shared" si="50"/>
        <v>0</v>
      </c>
      <c r="AV45" s="1">
        <f t="shared" si="51"/>
        <v>0</v>
      </c>
      <c r="AW45" s="1">
        <f t="shared" si="52"/>
        <v>0</v>
      </c>
      <c r="AX45" s="1">
        <f t="shared" si="53"/>
        <v>90.5</v>
      </c>
      <c r="AY45" s="23">
        <f t="shared" si="54"/>
        <v>0.5</v>
      </c>
      <c r="AZ45" s="23">
        <f t="shared" si="55"/>
        <v>0.1</v>
      </c>
      <c r="BA45" s="23">
        <f t="shared" si="56"/>
        <v>1.6</v>
      </c>
      <c r="BB45" s="23">
        <f t="shared" si="57"/>
        <v>1.6</v>
      </c>
      <c r="BC45" s="23">
        <f t="shared" si="58"/>
        <v>0</v>
      </c>
      <c r="BD45" s="23">
        <f t="shared" si="59"/>
        <v>1.6</v>
      </c>
    </row>
    <row r="46" spans="1:56">
      <c r="A46" s="1" t="s">
        <v>20</v>
      </c>
      <c r="B46" s="1" t="s">
        <v>34</v>
      </c>
      <c r="C46" s="1" t="s">
        <v>22</v>
      </c>
      <c r="D46" s="1" t="s">
        <v>35</v>
      </c>
      <c r="E46" s="51" t="s">
        <v>107</v>
      </c>
      <c r="F46" s="51" t="s">
        <v>232</v>
      </c>
      <c r="G46" s="51" t="s">
        <v>109</v>
      </c>
      <c r="H46" s="1" t="s">
        <v>661</v>
      </c>
      <c r="J46" s="51" t="s">
        <v>112</v>
      </c>
      <c r="K46" s="51" t="s">
        <v>112</v>
      </c>
      <c r="L46" s="51" t="s">
        <v>112</v>
      </c>
      <c r="M46" s="1">
        <v>2037972</v>
      </c>
      <c r="N46" s="50" t="s">
        <v>662</v>
      </c>
      <c r="O46" s="55">
        <f>DATE(2016,8,16)</f>
        <v>42598</v>
      </c>
      <c r="P46" s="55">
        <f>DATE(2016,11,13)</f>
        <v>42687</v>
      </c>
      <c r="Q46" s="51">
        <v>160</v>
      </c>
      <c r="S46" s="51">
        <v>1</v>
      </c>
      <c r="U46" s="1">
        <f t="shared" si="30"/>
        <v>90</v>
      </c>
      <c r="V46" s="31">
        <f t="shared" si="31"/>
        <v>1.7777777777777777</v>
      </c>
      <c r="W46" s="31">
        <f t="shared" si="32"/>
        <v>160</v>
      </c>
      <c r="X46" s="31">
        <f t="shared" si="33"/>
        <v>0.2</v>
      </c>
      <c r="AA46" s="32">
        <f t="shared" si="34"/>
        <v>42552</v>
      </c>
      <c r="AB46" s="32">
        <f t="shared" si="35"/>
        <v>42735</v>
      </c>
      <c r="AC46" s="50">
        <v>65</v>
      </c>
      <c r="AD46" s="1">
        <f t="shared" si="36"/>
        <v>0</v>
      </c>
      <c r="AE46" s="1">
        <f t="shared" si="37"/>
        <v>0</v>
      </c>
      <c r="AF46" s="1">
        <f t="shared" si="38"/>
        <v>0</v>
      </c>
      <c r="AG46" s="1">
        <f t="shared" si="39"/>
        <v>90</v>
      </c>
      <c r="AH46" s="1">
        <f t="shared" si="40"/>
        <v>0</v>
      </c>
      <c r="AI46" s="23">
        <f t="shared" si="41"/>
        <v>0.4891304347826087</v>
      </c>
      <c r="AJ46" s="23">
        <f t="shared" si="42"/>
        <v>9.7826086956521743E-2</v>
      </c>
      <c r="AK46" s="23">
        <f t="shared" si="43"/>
        <v>6.3586956521739131</v>
      </c>
      <c r="AL46" s="23">
        <f t="shared" si="44"/>
        <v>6.3586956521739131</v>
      </c>
      <c r="AM46" s="23">
        <f t="shared" si="45"/>
        <v>0</v>
      </c>
      <c r="AN46" s="23">
        <f t="shared" si="46"/>
        <v>6.3586956521739131</v>
      </c>
      <c r="AQ46" s="32">
        <f t="shared" si="47"/>
        <v>42736</v>
      </c>
      <c r="AR46" s="32">
        <f t="shared" si="48"/>
        <v>42916</v>
      </c>
      <c r="AS46" s="50">
        <v>65</v>
      </c>
      <c r="AT46" s="1">
        <f t="shared" si="49"/>
        <v>0</v>
      </c>
      <c r="AU46" s="1">
        <f t="shared" si="50"/>
        <v>0</v>
      </c>
      <c r="AV46" s="1">
        <f t="shared" si="51"/>
        <v>0</v>
      </c>
      <c r="AW46" s="1">
        <f t="shared" si="52"/>
        <v>0</v>
      </c>
      <c r="AX46" s="1">
        <f t="shared" si="53"/>
        <v>90.5</v>
      </c>
      <c r="AY46" s="23">
        <f t="shared" si="54"/>
        <v>0.5</v>
      </c>
      <c r="AZ46" s="23">
        <f t="shared" si="55"/>
        <v>0.1</v>
      </c>
      <c r="BA46" s="23">
        <f t="shared" si="56"/>
        <v>3.25</v>
      </c>
      <c r="BB46" s="23">
        <f t="shared" si="57"/>
        <v>3.25</v>
      </c>
      <c r="BC46" s="23">
        <f t="shared" si="58"/>
        <v>0</v>
      </c>
      <c r="BD46" s="23">
        <f t="shared" si="59"/>
        <v>3.25</v>
      </c>
    </row>
    <row r="47" spans="1:56">
      <c r="A47" s="1" t="s">
        <v>20</v>
      </c>
      <c r="B47" s="1" t="s">
        <v>34</v>
      </c>
      <c r="C47" s="1" t="s">
        <v>22</v>
      </c>
      <c r="D47" s="1" t="s">
        <v>35</v>
      </c>
      <c r="E47" s="51" t="s">
        <v>154</v>
      </c>
      <c r="F47" s="51" t="s">
        <v>108</v>
      </c>
      <c r="G47" s="51" t="s">
        <v>109</v>
      </c>
      <c r="H47" s="1" t="s">
        <v>110</v>
      </c>
      <c r="I47" s="1" t="s">
        <v>111</v>
      </c>
      <c r="J47" s="51" t="s">
        <v>112</v>
      </c>
      <c r="K47" s="51" t="s">
        <v>112</v>
      </c>
      <c r="L47" s="51" t="s">
        <v>148</v>
      </c>
      <c r="M47" s="1">
        <v>2126142</v>
      </c>
      <c r="N47" s="52" t="s">
        <v>663</v>
      </c>
      <c r="O47" s="55">
        <f>DATE(2016,12,20)</f>
        <v>42724</v>
      </c>
      <c r="P47" s="55">
        <f>DATE(2018,12,20)</f>
        <v>43454</v>
      </c>
      <c r="Q47" s="51">
        <v>1200</v>
      </c>
      <c r="S47" s="51">
        <v>2</v>
      </c>
      <c r="U47" s="1">
        <f t="shared" si="30"/>
        <v>731</v>
      </c>
      <c r="V47" s="31">
        <f t="shared" si="31"/>
        <v>1.6415868673050615</v>
      </c>
      <c r="W47" s="31">
        <f t="shared" si="32"/>
        <v>599.17920656634749</v>
      </c>
      <c r="X47" s="31">
        <f t="shared" si="33"/>
        <v>0.74897400820793436</v>
      </c>
      <c r="AA47" s="32">
        <f t="shared" si="34"/>
        <v>42552</v>
      </c>
      <c r="AB47" s="32">
        <f t="shared" si="35"/>
        <v>42735</v>
      </c>
      <c r="AC47" s="52">
        <v>1</v>
      </c>
      <c r="AD47" s="1">
        <f t="shared" si="36"/>
        <v>0</v>
      </c>
      <c r="AE47" s="1">
        <f t="shared" si="37"/>
        <v>12</v>
      </c>
      <c r="AF47" s="1">
        <f t="shared" si="38"/>
        <v>0</v>
      </c>
      <c r="AG47" s="1">
        <f t="shared" si="39"/>
        <v>0</v>
      </c>
      <c r="AH47" s="1">
        <f t="shared" si="40"/>
        <v>0</v>
      </c>
      <c r="AI47" s="23">
        <f t="shared" si="41"/>
        <v>6.5217391304347824E-2</v>
      </c>
      <c r="AJ47" s="23">
        <f t="shared" si="42"/>
        <v>4.8846130970082675E-2</v>
      </c>
      <c r="AK47" s="23">
        <f t="shared" si="43"/>
        <v>4.8846130970082675E-2</v>
      </c>
      <c r="AL47" s="23">
        <f t="shared" si="44"/>
        <v>9.7692261940165351E-2</v>
      </c>
      <c r="AM47" s="23">
        <f t="shared" si="45"/>
        <v>0</v>
      </c>
      <c r="AN47" s="23">
        <f t="shared" si="46"/>
        <v>9.7692261940165351E-2</v>
      </c>
      <c r="AQ47" s="32">
        <f t="shared" si="47"/>
        <v>42736</v>
      </c>
      <c r="AR47" s="32">
        <f t="shared" si="48"/>
        <v>42916</v>
      </c>
      <c r="AS47" s="52">
        <v>1</v>
      </c>
      <c r="AT47" s="1">
        <f t="shared" si="49"/>
        <v>181</v>
      </c>
      <c r="AU47" s="1">
        <f t="shared" si="50"/>
        <v>0</v>
      </c>
      <c r="AV47" s="1">
        <f t="shared" si="51"/>
        <v>0</v>
      </c>
      <c r="AW47" s="1">
        <f t="shared" si="52"/>
        <v>0</v>
      </c>
      <c r="AX47" s="1">
        <f t="shared" si="53"/>
        <v>0</v>
      </c>
      <c r="AY47" s="23">
        <f t="shared" si="54"/>
        <v>1</v>
      </c>
      <c r="AZ47" s="23">
        <f t="shared" si="55"/>
        <v>0.74897400820793436</v>
      </c>
      <c r="BA47" s="23">
        <f t="shared" si="56"/>
        <v>0.74897400820793436</v>
      </c>
      <c r="BB47" s="23">
        <f t="shared" si="57"/>
        <v>1.4979480164158687</v>
      </c>
      <c r="BC47" s="23">
        <f t="shared" si="58"/>
        <v>0</v>
      </c>
      <c r="BD47" s="23">
        <f t="shared" si="59"/>
        <v>1.4979480164158687</v>
      </c>
    </row>
    <row r="48" spans="1:56">
      <c r="A48" s="1" t="s">
        <v>20</v>
      </c>
      <c r="B48" s="1" t="s">
        <v>34</v>
      </c>
      <c r="C48" s="1" t="s">
        <v>22</v>
      </c>
      <c r="D48" s="1" t="s">
        <v>35</v>
      </c>
      <c r="E48" s="51" t="s">
        <v>107</v>
      </c>
      <c r="F48" s="51" t="s">
        <v>294</v>
      </c>
      <c r="G48" s="51" t="s">
        <v>109</v>
      </c>
      <c r="H48" s="1" t="s">
        <v>624</v>
      </c>
      <c r="I48" s="1" t="s">
        <v>234</v>
      </c>
      <c r="J48" s="51" t="s">
        <v>112</v>
      </c>
      <c r="K48" s="51" t="s">
        <v>112</v>
      </c>
      <c r="L48" s="51" t="s">
        <v>112</v>
      </c>
      <c r="M48" s="1">
        <v>2164743</v>
      </c>
      <c r="N48" s="52" t="s">
        <v>664</v>
      </c>
      <c r="O48" s="55">
        <f>DATE(2017,2,13)</f>
        <v>42779</v>
      </c>
      <c r="P48" s="55">
        <f>DATE(2020,5,13)</f>
        <v>43964</v>
      </c>
      <c r="Q48" s="51">
        <v>2400</v>
      </c>
      <c r="S48" s="51">
        <v>1</v>
      </c>
      <c r="U48" s="1">
        <f t="shared" si="30"/>
        <v>1186</v>
      </c>
      <c r="V48" s="31">
        <f t="shared" si="31"/>
        <v>2.0236087689713322</v>
      </c>
      <c r="W48" s="31">
        <f t="shared" si="32"/>
        <v>738.61720067453632</v>
      </c>
      <c r="X48" s="31">
        <f t="shared" si="33"/>
        <v>0.92327150084317045</v>
      </c>
      <c r="AA48" s="32">
        <f t="shared" si="34"/>
        <v>42552</v>
      </c>
      <c r="AB48" s="32">
        <f t="shared" si="35"/>
        <v>42735</v>
      </c>
      <c r="AC48" s="1">
        <v>0</v>
      </c>
      <c r="AD48" s="1">
        <f t="shared" si="36"/>
        <v>0</v>
      </c>
      <c r="AE48" s="1">
        <f t="shared" si="37"/>
        <v>0</v>
      </c>
      <c r="AF48" s="1">
        <f t="shared" si="38"/>
        <v>0</v>
      </c>
      <c r="AG48" s="1">
        <f t="shared" si="39"/>
        <v>0</v>
      </c>
      <c r="AH48" s="1">
        <f t="shared" si="40"/>
        <v>0</v>
      </c>
      <c r="AI48" s="23">
        <f t="shared" si="41"/>
        <v>0</v>
      </c>
      <c r="AJ48" s="23">
        <f t="shared" si="42"/>
        <v>0</v>
      </c>
      <c r="AK48" s="23">
        <f t="shared" si="43"/>
        <v>0</v>
      </c>
      <c r="AL48" s="23">
        <f t="shared" si="44"/>
        <v>0</v>
      </c>
      <c r="AM48" s="23">
        <f t="shared" si="45"/>
        <v>0</v>
      </c>
      <c r="AN48" s="23">
        <f t="shared" si="46"/>
        <v>0</v>
      </c>
      <c r="AQ48" s="32">
        <f t="shared" si="47"/>
        <v>42736</v>
      </c>
      <c r="AR48" s="32">
        <f t="shared" si="48"/>
        <v>42916</v>
      </c>
      <c r="AS48" s="52">
        <v>40</v>
      </c>
      <c r="AT48" s="1">
        <f t="shared" si="49"/>
        <v>0</v>
      </c>
      <c r="AU48" s="1">
        <f t="shared" si="50"/>
        <v>138</v>
      </c>
      <c r="AV48" s="1">
        <f t="shared" si="51"/>
        <v>0</v>
      </c>
      <c r="AW48" s="1">
        <f t="shared" si="52"/>
        <v>0</v>
      </c>
      <c r="AX48" s="1">
        <f t="shared" si="53"/>
        <v>0</v>
      </c>
      <c r="AY48" s="23">
        <f t="shared" si="54"/>
        <v>0.76243093922651939</v>
      </c>
      <c r="AZ48" s="23">
        <f t="shared" si="55"/>
        <v>0.70393075754893664</v>
      </c>
      <c r="BA48" s="23">
        <f t="shared" si="56"/>
        <v>28.157230301957465</v>
      </c>
      <c r="BB48" s="23">
        <f t="shared" si="57"/>
        <v>28.157230301957465</v>
      </c>
      <c r="BC48" s="23">
        <f t="shared" si="58"/>
        <v>0</v>
      </c>
      <c r="BD48" s="23">
        <f t="shared" si="59"/>
        <v>28.157230301957465</v>
      </c>
    </row>
    <row r="49" spans="1:56">
      <c r="A49" s="1" t="s">
        <v>20</v>
      </c>
      <c r="B49" s="1" t="s">
        <v>34</v>
      </c>
      <c r="C49" s="1" t="s">
        <v>22</v>
      </c>
      <c r="D49" s="1" t="s">
        <v>35</v>
      </c>
      <c r="E49" s="51" t="s">
        <v>107</v>
      </c>
      <c r="F49" s="51" t="s">
        <v>114</v>
      </c>
      <c r="G49" s="51" t="s">
        <v>109</v>
      </c>
      <c r="H49" s="1" t="s">
        <v>152</v>
      </c>
      <c r="I49" s="1" t="s">
        <v>147</v>
      </c>
      <c r="J49" s="51" t="s">
        <v>112</v>
      </c>
      <c r="K49" s="51" t="s">
        <v>112</v>
      </c>
      <c r="L49" s="51" t="s">
        <v>112</v>
      </c>
      <c r="M49" s="1">
        <v>2164749</v>
      </c>
      <c r="N49" s="52" t="s">
        <v>665</v>
      </c>
      <c r="O49" s="55">
        <f>DATE(2017,2,13)</f>
        <v>42779</v>
      </c>
      <c r="P49" s="55">
        <f>DATE(2021,5,13)</f>
        <v>44329</v>
      </c>
      <c r="Q49" s="51">
        <v>4225</v>
      </c>
      <c r="S49" s="51">
        <v>2.5</v>
      </c>
      <c r="U49" s="1">
        <f t="shared" si="30"/>
        <v>1551</v>
      </c>
      <c r="V49" s="31">
        <f t="shared" si="31"/>
        <v>2.7240490006447455</v>
      </c>
      <c r="W49" s="31">
        <f t="shared" si="32"/>
        <v>994.27788523533206</v>
      </c>
      <c r="X49" s="31">
        <f t="shared" si="33"/>
        <v>1.2428473565441651</v>
      </c>
      <c r="AA49" s="32">
        <f t="shared" si="34"/>
        <v>42552</v>
      </c>
      <c r="AB49" s="32">
        <f t="shared" si="35"/>
        <v>42735</v>
      </c>
      <c r="AC49" s="1">
        <v>0</v>
      </c>
      <c r="AD49" s="1">
        <f t="shared" si="36"/>
        <v>0</v>
      </c>
      <c r="AE49" s="1">
        <f t="shared" si="37"/>
        <v>0</v>
      </c>
      <c r="AF49" s="1">
        <f t="shared" si="38"/>
        <v>0</v>
      </c>
      <c r="AG49" s="1">
        <f t="shared" si="39"/>
        <v>0</v>
      </c>
      <c r="AH49" s="1">
        <f t="shared" si="40"/>
        <v>0</v>
      </c>
      <c r="AI49" s="23">
        <f t="shared" si="41"/>
        <v>0</v>
      </c>
      <c r="AJ49" s="23">
        <f t="shared" si="42"/>
        <v>0</v>
      </c>
      <c r="AK49" s="23">
        <f t="shared" si="43"/>
        <v>0</v>
      </c>
      <c r="AL49" s="23">
        <f t="shared" si="44"/>
        <v>0</v>
      </c>
      <c r="AM49" s="23">
        <f t="shared" si="45"/>
        <v>0</v>
      </c>
      <c r="AN49" s="23">
        <f t="shared" si="46"/>
        <v>0</v>
      </c>
      <c r="AQ49" s="32">
        <f t="shared" si="47"/>
        <v>42736</v>
      </c>
      <c r="AR49" s="32">
        <f t="shared" si="48"/>
        <v>42916</v>
      </c>
      <c r="AS49" s="52">
        <v>40</v>
      </c>
      <c r="AT49" s="1">
        <f t="shared" si="49"/>
        <v>0</v>
      </c>
      <c r="AU49" s="1">
        <f t="shared" si="50"/>
        <v>138</v>
      </c>
      <c r="AV49" s="1">
        <f t="shared" si="51"/>
        <v>0</v>
      </c>
      <c r="AW49" s="1">
        <f t="shared" si="52"/>
        <v>0</v>
      </c>
      <c r="AX49" s="1">
        <f t="shared" si="53"/>
        <v>0</v>
      </c>
      <c r="AY49" s="23">
        <f t="shared" si="54"/>
        <v>0.76243093922651939</v>
      </c>
      <c r="AZ49" s="23">
        <f t="shared" si="55"/>
        <v>0.94758527736516462</v>
      </c>
      <c r="BA49" s="23">
        <f t="shared" si="56"/>
        <v>37.903411094606582</v>
      </c>
      <c r="BB49" s="23">
        <f t="shared" si="57"/>
        <v>94.758527736516456</v>
      </c>
      <c r="BC49" s="23">
        <f t="shared" si="58"/>
        <v>0</v>
      </c>
      <c r="BD49" s="23">
        <f t="shared" si="59"/>
        <v>94.758527736516456</v>
      </c>
    </row>
    <row r="50" spans="1:56">
      <c r="A50" s="1" t="s">
        <v>20</v>
      </c>
      <c r="B50" s="1" t="s">
        <v>34</v>
      </c>
      <c r="C50" s="1" t="s">
        <v>22</v>
      </c>
      <c r="D50" s="1" t="s">
        <v>35</v>
      </c>
      <c r="E50" s="51" t="s">
        <v>107</v>
      </c>
      <c r="F50" s="51" t="s">
        <v>108</v>
      </c>
      <c r="G50" s="51" t="s">
        <v>109</v>
      </c>
      <c r="H50" s="1" t="s">
        <v>124</v>
      </c>
      <c r="I50" s="1" t="s">
        <v>125</v>
      </c>
      <c r="J50" s="51" t="s">
        <v>112</v>
      </c>
      <c r="K50" s="51" t="s">
        <v>112</v>
      </c>
      <c r="L50" s="51" t="s">
        <v>112</v>
      </c>
      <c r="M50" s="1">
        <v>2168481</v>
      </c>
      <c r="N50" s="52" t="s">
        <v>205</v>
      </c>
      <c r="O50" s="55">
        <f>DATE(2017,6,5)</f>
        <v>42891</v>
      </c>
      <c r="P50" s="55">
        <f>DATE(2020,6,5)</f>
        <v>43987</v>
      </c>
      <c r="Q50" s="51">
        <v>3980</v>
      </c>
      <c r="S50" s="51">
        <v>2.5</v>
      </c>
      <c r="U50" s="1">
        <f t="shared" si="30"/>
        <v>1097</v>
      </c>
      <c r="V50" s="31">
        <f t="shared" si="31"/>
        <v>3.6280765724703739</v>
      </c>
      <c r="W50" s="31">
        <f t="shared" si="32"/>
        <v>1324.2479489516866</v>
      </c>
      <c r="X50" s="31">
        <f t="shared" si="33"/>
        <v>1.6553099361896082</v>
      </c>
      <c r="AA50" s="32">
        <f t="shared" si="34"/>
        <v>42552</v>
      </c>
      <c r="AB50" s="32">
        <f t="shared" si="35"/>
        <v>42735</v>
      </c>
      <c r="AC50" s="1">
        <v>0</v>
      </c>
      <c r="AD50" s="1">
        <f t="shared" si="36"/>
        <v>0</v>
      </c>
      <c r="AE50" s="1">
        <f t="shared" si="37"/>
        <v>0</v>
      </c>
      <c r="AF50" s="1">
        <f t="shared" si="38"/>
        <v>0</v>
      </c>
      <c r="AG50" s="1">
        <f t="shared" si="39"/>
        <v>0</v>
      </c>
      <c r="AH50" s="1">
        <f t="shared" si="40"/>
        <v>0</v>
      </c>
      <c r="AI50" s="23">
        <f t="shared" si="41"/>
        <v>0</v>
      </c>
      <c r="AJ50" s="23">
        <f t="shared" si="42"/>
        <v>0</v>
      </c>
      <c r="AK50" s="23">
        <f t="shared" si="43"/>
        <v>0</v>
      </c>
      <c r="AL50" s="23">
        <f t="shared" si="44"/>
        <v>0</v>
      </c>
      <c r="AM50" s="23">
        <f t="shared" si="45"/>
        <v>0</v>
      </c>
      <c r="AN50" s="23">
        <f t="shared" si="46"/>
        <v>0</v>
      </c>
      <c r="AQ50" s="32">
        <f t="shared" si="47"/>
        <v>42736</v>
      </c>
      <c r="AR50" s="32">
        <f t="shared" si="48"/>
        <v>42916</v>
      </c>
      <c r="AS50" s="52">
        <v>36</v>
      </c>
      <c r="AT50" s="1">
        <f t="shared" si="49"/>
        <v>0</v>
      </c>
      <c r="AU50" s="1">
        <f t="shared" si="50"/>
        <v>26</v>
      </c>
      <c r="AV50" s="1">
        <f t="shared" si="51"/>
        <v>0</v>
      </c>
      <c r="AW50" s="1">
        <f t="shared" si="52"/>
        <v>0</v>
      </c>
      <c r="AX50" s="1">
        <f t="shared" si="53"/>
        <v>0</v>
      </c>
      <c r="AY50" s="23">
        <f t="shared" si="54"/>
        <v>0.143646408839779</v>
      </c>
      <c r="AZ50" s="23">
        <f t="shared" si="55"/>
        <v>0.23777932785044095</v>
      </c>
      <c r="BA50" s="23">
        <f t="shared" si="56"/>
        <v>8.5600558026158744</v>
      </c>
      <c r="BB50" s="23">
        <f t="shared" si="57"/>
        <v>21.400139506539688</v>
      </c>
      <c r="BC50" s="23">
        <f t="shared" si="58"/>
        <v>0</v>
      </c>
      <c r="BD50" s="23">
        <f t="shared" si="59"/>
        <v>21.400139506539688</v>
      </c>
    </row>
    <row r="51" spans="1:56">
      <c r="A51" s="1" t="s">
        <v>20</v>
      </c>
      <c r="B51" s="1" t="s">
        <v>34</v>
      </c>
      <c r="C51" s="1" t="s">
        <v>22</v>
      </c>
      <c r="D51" s="1" t="s">
        <v>35</v>
      </c>
      <c r="E51" s="51" t="s">
        <v>107</v>
      </c>
      <c r="F51" s="51" t="s">
        <v>108</v>
      </c>
      <c r="G51" s="51" t="s">
        <v>109</v>
      </c>
      <c r="H51" s="1" t="s">
        <v>615</v>
      </c>
      <c r="I51" s="1" t="s">
        <v>111</v>
      </c>
      <c r="J51" s="51" t="s">
        <v>112</v>
      </c>
      <c r="K51" s="51" t="s">
        <v>112</v>
      </c>
      <c r="L51" s="51" t="s">
        <v>112</v>
      </c>
      <c r="M51" s="1">
        <v>2168798</v>
      </c>
      <c r="N51" s="52" t="s">
        <v>666</v>
      </c>
      <c r="O51" s="55">
        <f>DATE(2017,6,5)</f>
        <v>42891</v>
      </c>
      <c r="P51" s="55">
        <f>DATE(2020,9,5)</f>
        <v>44079</v>
      </c>
      <c r="Q51" s="51">
        <v>3780</v>
      </c>
      <c r="S51" s="51">
        <v>1</v>
      </c>
      <c r="U51" s="1">
        <f t="shared" si="30"/>
        <v>1189</v>
      </c>
      <c r="V51" s="31">
        <f t="shared" si="31"/>
        <v>3.1791421362489487</v>
      </c>
      <c r="W51" s="31">
        <f t="shared" si="32"/>
        <v>1160.3868797308662</v>
      </c>
      <c r="X51" s="31">
        <f t="shared" si="33"/>
        <v>1.4504835996635828</v>
      </c>
      <c r="AA51" s="32">
        <f t="shared" si="34"/>
        <v>42552</v>
      </c>
      <c r="AB51" s="32">
        <f t="shared" si="35"/>
        <v>42735</v>
      </c>
      <c r="AC51" s="1">
        <v>0</v>
      </c>
      <c r="AD51" s="1">
        <f t="shared" si="36"/>
        <v>0</v>
      </c>
      <c r="AE51" s="1">
        <f t="shared" si="37"/>
        <v>0</v>
      </c>
      <c r="AF51" s="1">
        <f t="shared" si="38"/>
        <v>0</v>
      </c>
      <c r="AG51" s="1">
        <f t="shared" si="39"/>
        <v>0</v>
      </c>
      <c r="AH51" s="1">
        <f t="shared" si="40"/>
        <v>0</v>
      </c>
      <c r="AI51" s="23">
        <f t="shared" si="41"/>
        <v>0</v>
      </c>
      <c r="AJ51" s="23">
        <f t="shared" si="42"/>
        <v>0</v>
      </c>
      <c r="AK51" s="23">
        <f t="shared" si="43"/>
        <v>0</v>
      </c>
      <c r="AL51" s="23">
        <f t="shared" si="44"/>
        <v>0</v>
      </c>
      <c r="AM51" s="23">
        <f t="shared" si="45"/>
        <v>0</v>
      </c>
      <c r="AN51" s="23">
        <f t="shared" si="46"/>
        <v>0</v>
      </c>
      <c r="AQ51" s="32">
        <f t="shared" si="47"/>
        <v>42736</v>
      </c>
      <c r="AR51" s="32">
        <f t="shared" si="48"/>
        <v>42916</v>
      </c>
      <c r="AS51" s="52">
        <v>40</v>
      </c>
      <c r="AT51" s="1">
        <f t="shared" si="49"/>
        <v>0</v>
      </c>
      <c r="AU51" s="1">
        <f t="shared" si="50"/>
        <v>26</v>
      </c>
      <c r="AV51" s="1">
        <f t="shared" si="51"/>
        <v>0</v>
      </c>
      <c r="AW51" s="1">
        <f t="shared" si="52"/>
        <v>0</v>
      </c>
      <c r="AX51" s="1">
        <f t="shared" si="53"/>
        <v>0</v>
      </c>
      <c r="AY51" s="23">
        <f t="shared" si="54"/>
        <v>0.143646408839779</v>
      </c>
      <c r="AZ51" s="23">
        <f t="shared" si="55"/>
        <v>0.20835676017266933</v>
      </c>
      <c r="BA51" s="23">
        <f t="shared" si="56"/>
        <v>8.3342704069067732</v>
      </c>
      <c r="BB51" s="23">
        <f t="shared" si="57"/>
        <v>8.3342704069067732</v>
      </c>
      <c r="BC51" s="23">
        <f t="shared" si="58"/>
        <v>0</v>
      </c>
      <c r="BD51" s="23">
        <f t="shared" si="59"/>
        <v>8.3342704069067732</v>
      </c>
    </row>
    <row r="52" spans="1:56">
      <c r="A52" s="1" t="s">
        <v>20</v>
      </c>
      <c r="B52" s="1" t="s">
        <v>34</v>
      </c>
      <c r="C52" s="1" t="s">
        <v>22</v>
      </c>
      <c r="D52" s="1" t="s">
        <v>35</v>
      </c>
      <c r="E52" s="51" t="s">
        <v>107</v>
      </c>
      <c r="F52" s="51" t="s">
        <v>108</v>
      </c>
      <c r="G52" s="51" t="s">
        <v>109</v>
      </c>
      <c r="H52" s="1" t="s">
        <v>175</v>
      </c>
      <c r="I52" s="1" t="s">
        <v>147</v>
      </c>
      <c r="J52" s="51" t="s">
        <v>148</v>
      </c>
      <c r="K52" s="51" t="s">
        <v>112</v>
      </c>
      <c r="L52" s="51" t="s">
        <v>112</v>
      </c>
      <c r="M52" s="1">
        <v>2168841</v>
      </c>
      <c r="N52" s="52" t="s">
        <v>667</v>
      </c>
      <c r="O52" s="55">
        <f>DATE(2017,6,5)</f>
        <v>42891</v>
      </c>
      <c r="P52" s="55">
        <f>DATE(2020,9,5)</f>
        <v>44079</v>
      </c>
      <c r="Q52" s="51">
        <v>3876</v>
      </c>
      <c r="S52" s="51">
        <v>2.5</v>
      </c>
      <c r="U52" s="1">
        <f t="shared" si="30"/>
        <v>1189</v>
      </c>
      <c r="V52" s="31">
        <f t="shared" si="31"/>
        <v>3.2598822539949537</v>
      </c>
      <c r="W52" s="31">
        <f t="shared" si="32"/>
        <v>1189.8570227081582</v>
      </c>
      <c r="X52" s="31">
        <f t="shared" si="33"/>
        <v>1.4873212783851977</v>
      </c>
      <c r="AA52" s="32">
        <f t="shared" si="34"/>
        <v>42552</v>
      </c>
      <c r="AB52" s="32">
        <f t="shared" si="35"/>
        <v>42735</v>
      </c>
      <c r="AC52" s="1">
        <v>0</v>
      </c>
      <c r="AD52" s="1">
        <f t="shared" si="36"/>
        <v>0</v>
      </c>
      <c r="AE52" s="1">
        <f t="shared" si="37"/>
        <v>0</v>
      </c>
      <c r="AF52" s="1">
        <f t="shared" si="38"/>
        <v>0</v>
      </c>
      <c r="AG52" s="1">
        <f t="shared" si="39"/>
        <v>0</v>
      </c>
      <c r="AH52" s="1">
        <f t="shared" si="40"/>
        <v>0</v>
      </c>
      <c r="AI52" s="23">
        <f t="shared" si="41"/>
        <v>0</v>
      </c>
      <c r="AJ52" s="23">
        <f t="shared" si="42"/>
        <v>0</v>
      </c>
      <c r="AK52" s="23">
        <f t="shared" si="43"/>
        <v>0</v>
      </c>
      <c r="AL52" s="23">
        <f t="shared" si="44"/>
        <v>0</v>
      </c>
      <c r="AM52" s="23">
        <f t="shared" si="45"/>
        <v>0</v>
      </c>
      <c r="AN52" s="23">
        <f t="shared" si="46"/>
        <v>0</v>
      </c>
      <c r="AQ52" s="32">
        <f t="shared" si="47"/>
        <v>42736</v>
      </c>
      <c r="AR52" s="32">
        <f t="shared" si="48"/>
        <v>42916</v>
      </c>
      <c r="AS52" s="52">
        <v>35</v>
      </c>
      <c r="AT52" s="1">
        <f t="shared" si="49"/>
        <v>0</v>
      </c>
      <c r="AU52" s="1">
        <f t="shared" si="50"/>
        <v>26</v>
      </c>
      <c r="AV52" s="1">
        <f t="shared" si="51"/>
        <v>0</v>
      </c>
      <c r="AW52" s="1">
        <f t="shared" si="52"/>
        <v>0</v>
      </c>
      <c r="AX52" s="1">
        <f t="shared" si="53"/>
        <v>0</v>
      </c>
      <c r="AY52" s="23">
        <f t="shared" si="54"/>
        <v>0.143646408839779</v>
      </c>
      <c r="AZ52" s="23">
        <f t="shared" si="55"/>
        <v>0.21364836043102287</v>
      </c>
      <c r="BA52" s="23">
        <f t="shared" si="56"/>
        <v>7.4776926150858003</v>
      </c>
      <c r="BB52" s="23">
        <f t="shared" si="57"/>
        <v>18.694231537714501</v>
      </c>
      <c r="BC52" s="23">
        <f t="shared" si="58"/>
        <v>9.3471157688572504</v>
      </c>
      <c r="BD52" s="23">
        <f t="shared" si="59"/>
        <v>28.041347306571751</v>
      </c>
    </row>
    <row r="53" spans="1:56">
      <c r="A53" s="1" t="s">
        <v>20</v>
      </c>
      <c r="B53" s="1" t="s">
        <v>34</v>
      </c>
      <c r="C53" s="1" t="s">
        <v>22</v>
      </c>
      <c r="D53" s="1" t="s">
        <v>35</v>
      </c>
      <c r="E53" s="51" t="s">
        <v>107</v>
      </c>
      <c r="F53" s="51" t="s">
        <v>439</v>
      </c>
      <c r="G53" s="51" t="s">
        <v>109</v>
      </c>
      <c r="H53" s="1" t="s">
        <v>668</v>
      </c>
      <c r="J53" s="51" t="s">
        <v>112</v>
      </c>
      <c r="K53" s="51" t="s">
        <v>112</v>
      </c>
      <c r="L53" s="51" t="s">
        <v>112</v>
      </c>
      <c r="M53" s="1">
        <v>2170872</v>
      </c>
      <c r="N53" s="52" t="s">
        <v>669</v>
      </c>
      <c r="O53" s="55">
        <f>DATE(2017,5,6)</f>
        <v>42861</v>
      </c>
      <c r="P53" s="55">
        <f>DATE(2018,5,6)</f>
        <v>43226</v>
      </c>
      <c r="Q53" s="51">
        <v>390</v>
      </c>
      <c r="S53" s="51">
        <v>1</v>
      </c>
      <c r="U53" s="1">
        <f t="shared" si="30"/>
        <v>366</v>
      </c>
      <c r="V53" s="31">
        <f t="shared" si="31"/>
        <v>1.0655737704918034</v>
      </c>
      <c r="W53" s="31">
        <f t="shared" si="32"/>
        <v>388.93442622950823</v>
      </c>
      <c r="X53" s="31">
        <f t="shared" si="33"/>
        <v>0.48616803278688531</v>
      </c>
      <c r="AA53" s="32">
        <f t="shared" si="34"/>
        <v>42552</v>
      </c>
      <c r="AB53" s="32">
        <f t="shared" si="35"/>
        <v>42735</v>
      </c>
      <c r="AC53" s="1">
        <v>0</v>
      </c>
      <c r="AD53" s="1">
        <f t="shared" si="36"/>
        <v>0</v>
      </c>
      <c r="AE53" s="1">
        <f t="shared" si="37"/>
        <v>0</v>
      </c>
      <c r="AF53" s="1">
        <f t="shared" si="38"/>
        <v>0</v>
      </c>
      <c r="AG53" s="1">
        <f t="shared" si="39"/>
        <v>0</v>
      </c>
      <c r="AH53" s="1">
        <f t="shared" si="40"/>
        <v>0</v>
      </c>
      <c r="AI53" s="23">
        <f t="shared" si="41"/>
        <v>0</v>
      </c>
      <c r="AJ53" s="23">
        <f t="shared" si="42"/>
        <v>0</v>
      </c>
      <c r="AK53" s="23">
        <f t="shared" si="43"/>
        <v>0</v>
      </c>
      <c r="AL53" s="23">
        <f t="shared" si="44"/>
        <v>0</v>
      </c>
      <c r="AM53" s="23">
        <f t="shared" si="45"/>
        <v>0</v>
      </c>
      <c r="AN53" s="23">
        <f t="shared" si="46"/>
        <v>0</v>
      </c>
      <c r="AQ53" s="32">
        <f t="shared" si="47"/>
        <v>42736</v>
      </c>
      <c r="AR53" s="32">
        <f t="shared" si="48"/>
        <v>42916</v>
      </c>
      <c r="AS53" s="52">
        <v>91</v>
      </c>
      <c r="AT53" s="1">
        <f t="shared" si="49"/>
        <v>0</v>
      </c>
      <c r="AU53" s="1">
        <f t="shared" si="50"/>
        <v>56</v>
      </c>
      <c r="AV53" s="1">
        <f t="shared" si="51"/>
        <v>0</v>
      </c>
      <c r="AW53" s="1">
        <f t="shared" si="52"/>
        <v>0</v>
      </c>
      <c r="AX53" s="1">
        <f t="shared" si="53"/>
        <v>0</v>
      </c>
      <c r="AY53" s="23">
        <f t="shared" si="54"/>
        <v>0.30939226519337015</v>
      </c>
      <c r="AZ53" s="23">
        <f t="shared" si="55"/>
        <v>0.1504166289285391</v>
      </c>
      <c r="BA53" s="23">
        <f t="shared" si="56"/>
        <v>13.687913232497058</v>
      </c>
      <c r="BB53" s="23">
        <f t="shared" si="57"/>
        <v>13.687913232497058</v>
      </c>
      <c r="BC53" s="23">
        <f t="shared" si="58"/>
        <v>0</v>
      </c>
      <c r="BD53" s="23">
        <f t="shared" si="59"/>
        <v>13.687913232497058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E62"/>
  <sheetViews>
    <sheetView topLeftCell="H38" workbookViewId="0">
      <selection activeCell="N60" sqref="N60"/>
    </sheetView>
  </sheetViews>
  <sheetFormatPr defaultRowHeight="15"/>
  <cols>
    <col min="1" max="1" width="4" style="1" customWidth="1"/>
    <col min="2" max="2" width="13.85546875" style="1" customWidth="1"/>
    <col min="3" max="3" width="8.5703125" style="1" customWidth="1"/>
    <col min="4" max="4" width="22.4257812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0" width="11.85546875" style="1" customWidth="1"/>
    <col min="11" max="11" width="9" style="1" customWidth="1"/>
    <col min="12" max="13" width="10.7109375" style="1" customWidth="1"/>
    <col min="14" max="14" width="69.28515625" style="1" customWidth="1"/>
    <col min="15" max="16" width="15.7109375" style="32" customWidth="1"/>
    <col min="17" max="17" width="9.140625" style="1" customWidth="1"/>
    <col min="18" max="18" width="5.28515625" style="1" customWidth="1"/>
    <col min="19" max="19" width="8.28515625" style="1" customWidth="1"/>
    <col min="20" max="20" width="2.7109375" style="1" customWidth="1"/>
    <col min="21" max="21" width="7.42578125" style="1" customWidth="1"/>
    <col min="22" max="22" width="7.7109375" style="31" customWidth="1"/>
    <col min="23" max="23" width="12" style="31" customWidth="1"/>
    <col min="24" max="24" width="8" style="31" customWidth="1"/>
    <col min="25" max="25" width="2.5703125" style="31" customWidth="1"/>
    <col min="26" max="26" width="5.85546875" style="31" customWidth="1"/>
    <col min="27" max="27" width="12.7109375" style="32" customWidth="1"/>
    <col min="28" max="28" width="11.7109375" style="32" customWidth="1"/>
    <col min="29" max="29" width="8.85546875" style="1" customWidth="1"/>
    <col min="30" max="30" width="7.140625" style="1" customWidth="1"/>
    <col min="31" max="31" width="9.140625" style="1" customWidth="1"/>
    <col min="32" max="32" width="7.140625" style="1" customWidth="1"/>
    <col min="33" max="33" width="7.42578125" style="1" customWidth="1"/>
    <col min="34" max="34" width="8.140625" style="1" customWidth="1"/>
    <col min="35" max="35" width="7.7109375" style="23" customWidth="1"/>
    <col min="36" max="36" width="9" style="23" customWidth="1"/>
    <col min="37" max="38" width="10.140625" style="23" customWidth="1"/>
    <col min="39" max="39" width="9.42578125" style="23" customWidth="1"/>
    <col min="40" max="40" width="9.85546875" style="23" customWidth="1"/>
    <col min="41" max="41" width="3" style="23" customWidth="1"/>
    <col min="42" max="42" width="9.28515625" style="23" customWidth="1"/>
    <col min="43" max="43" width="10.7109375" style="32" customWidth="1"/>
    <col min="44" max="44" width="11.85546875" style="32" customWidth="1"/>
    <col min="45" max="45" width="9.140625" style="1" customWidth="1"/>
    <col min="46" max="46" width="14.42578125" style="1" customWidth="1"/>
    <col min="47" max="47" width="12" style="1" customWidth="1"/>
    <col min="48" max="48" width="11" style="1" customWidth="1"/>
    <col min="49" max="49" width="9.85546875" style="1" customWidth="1"/>
    <col min="50" max="50" width="17" style="1" customWidth="1"/>
    <col min="51" max="51" width="16.140625" style="23" customWidth="1"/>
    <col min="52" max="52" width="14.42578125" style="23" customWidth="1"/>
    <col min="53" max="53" width="14.28515625" style="23" customWidth="1"/>
    <col min="54" max="54" width="12.5703125" style="23" customWidth="1"/>
    <col min="55" max="55" width="15.7109375" style="23" customWidth="1"/>
    <col min="56" max="56" width="15.855468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35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40</v>
      </c>
      <c r="C4" s="1" t="s">
        <v>22</v>
      </c>
      <c r="D4" s="1" t="s">
        <v>41</v>
      </c>
      <c r="E4" s="51" t="s">
        <v>107</v>
      </c>
      <c r="F4" s="51" t="s">
        <v>265</v>
      </c>
      <c r="G4" s="51" t="s">
        <v>109</v>
      </c>
      <c r="H4" s="1" t="s">
        <v>716</v>
      </c>
      <c r="I4" s="1" t="s">
        <v>147</v>
      </c>
      <c r="J4" s="51" t="s">
        <v>148</v>
      </c>
      <c r="K4" s="51" t="s">
        <v>112</v>
      </c>
      <c r="L4" s="51" t="s">
        <v>112</v>
      </c>
      <c r="M4" s="1">
        <v>396671</v>
      </c>
      <c r="N4" s="50" t="s">
        <v>717</v>
      </c>
      <c r="O4" s="55">
        <f>DATE(2010,3,8)</f>
        <v>40245</v>
      </c>
      <c r="P4" s="55">
        <f>DATE(2014,3,8)</f>
        <v>41706</v>
      </c>
      <c r="Q4" s="1">
        <v>4730</v>
      </c>
      <c r="S4" s="51">
        <v>2.5</v>
      </c>
      <c r="U4" s="1">
        <f t="shared" ref="U4:U35" si="0">P4-O4+1</f>
        <v>1462</v>
      </c>
      <c r="V4" s="31">
        <f t="shared" ref="V4:V35" si="1">Q4/U4</f>
        <v>3.2352941176470589</v>
      </c>
      <c r="W4" s="31">
        <f t="shared" ref="W4:W35" si="2">IF(U4&gt;365,V4*365,Q4)</f>
        <v>1180.8823529411766</v>
      </c>
      <c r="X4" s="31">
        <f t="shared" ref="X4:X35" si="3">IF(U4&gt;365,W4/800,Q4/800)</f>
        <v>1.4761029411764708</v>
      </c>
      <c r="AA4" s="32">
        <f t="shared" ref="AA4:AA35" si="4">DATE(2016,7,1)</f>
        <v>42552</v>
      </c>
      <c r="AB4" s="32">
        <f t="shared" ref="AB4:AB35" si="5">DATE(2016,12,31)</f>
        <v>42735</v>
      </c>
      <c r="AC4" s="50">
        <v>7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0.73805147058823539</v>
      </c>
      <c r="AK4" s="23">
        <f t="shared" ref="AK4:AK35" si="13">IF(AH4=0,AJ4*AC4,IF(AA4-P4&gt;1095,0,AJ4*(AC4/2)))</f>
        <v>2.5831801470588238</v>
      </c>
      <c r="AL4" s="23">
        <f t="shared" ref="AL4:AL35" si="14">AK4*S4</f>
        <v>6.4579503676470598</v>
      </c>
      <c r="AM4" s="23">
        <f t="shared" ref="AM4:AM35" si="15">IF(J4="SIM",AL4*50%,0)</f>
        <v>3.2289751838235299</v>
      </c>
      <c r="AN4" s="23">
        <f t="shared" ref="AN4:AN35" si="16">AL4+AM4</f>
        <v>9.6869255514705905</v>
      </c>
      <c r="AQ4" s="32">
        <f t="shared" ref="AQ4:AQ35" si="17">DATE(2017,1,1)</f>
        <v>42736</v>
      </c>
      <c r="AR4" s="32">
        <f t="shared" ref="AR4:AR35" si="18">DATE(2017,6,30)</f>
        <v>42916</v>
      </c>
      <c r="AS4" s="50">
        <v>6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0.73805147058823539</v>
      </c>
      <c r="BA4" s="23">
        <f t="shared" ref="BA4:BA35" si="26">IF(AX4=0,AZ4*AS4,IF(AQ4-P4&gt;1095,0,AZ4*(AS4/2)))</f>
        <v>2.2141544117647061</v>
      </c>
      <c r="BB4" s="23">
        <f t="shared" ref="BB4:BB35" si="27">BA4*S4</f>
        <v>5.5353860294117654</v>
      </c>
      <c r="BC4" s="23">
        <f t="shared" ref="BC4:BC35" si="28">IF(J4="SIM",BB4*50%,0)</f>
        <v>2.7676930147058827</v>
      </c>
      <c r="BD4" s="23">
        <f t="shared" ref="BD4:BD35" si="29">BB4+BC4</f>
        <v>8.3030790441176485</v>
      </c>
    </row>
    <row r="5" spans="1:57">
      <c r="A5" s="1" t="s">
        <v>20</v>
      </c>
      <c r="B5" s="1" t="s">
        <v>40</v>
      </c>
      <c r="C5" s="1" t="s">
        <v>22</v>
      </c>
      <c r="D5" s="1" t="s">
        <v>41</v>
      </c>
      <c r="E5" s="51" t="s">
        <v>107</v>
      </c>
      <c r="F5" s="51" t="s">
        <v>108</v>
      </c>
      <c r="G5" s="51" t="s">
        <v>109</v>
      </c>
      <c r="H5" s="1" t="s">
        <v>642</v>
      </c>
      <c r="I5" s="1" t="s">
        <v>147</v>
      </c>
      <c r="J5" s="51" t="s">
        <v>148</v>
      </c>
      <c r="K5" s="51" t="s">
        <v>112</v>
      </c>
      <c r="L5" s="51" t="s">
        <v>112</v>
      </c>
      <c r="M5" s="1">
        <v>806715</v>
      </c>
      <c r="N5" s="56" t="s">
        <v>718</v>
      </c>
      <c r="O5" s="55">
        <f>DATE(2011,2,10)</f>
        <v>40584</v>
      </c>
      <c r="P5" s="55">
        <f>DATE(2013,12,20)</f>
        <v>41628</v>
      </c>
      <c r="Q5" s="1">
        <v>4560</v>
      </c>
      <c r="S5" s="51">
        <v>2.5</v>
      </c>
      <c r="U5" s="1">
        <f t="shared" si="0"/>
        <v>1045</v>
      </c>
      <c r="V5" s="31">
        <f t="shared" si="1"/>
        <v>4.3636363636363633</v>
      </c>
      <c r="W5" s="31">
        <f t="shared" si="2"/>
        <v>1592.7272727272725</v>
      </c>
      <c r="X5" s="31">
        <f t="shared" si="3"/>
        <v>1.9909090909090907</v>
      </c>
      <c r="AA5" s="32">
        <f t="shared" si="4"/>
        <v>42552</v>
      </c>
      <c r="AB5" s="32">
        <f t="shared" si="5"/>
        <v>42735</v>
      </c>
      <c r="AC5" s="50">
        <v>4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0.99545454545454537</v>
      </c>
      <c r="AK5" s="23">
        <f t="shared" si="13"/>
        <v>1.9909090909090907</v>
      </c>
      <c r="AL5" s="23">
        <f t="shared" si="14"/>
        <v>4.9772727272727266</v>
      </c>
      <c r="AM5" s="23">
        <f t="shared" si="15"/>
        <v>2.4886363636363633</v>
      </c>
      <c r="AN5" s="23">
        <f t="shared" si="16"/>
        <v>7.4659090909090899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0.99545454545454537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40</v>
      </c>
      <c r="C6" s="1" t="s">
        <v>22</v>
      </c>
      <c r="D6" s="1" t="s">
        <v>41</v>
      </c>
      <c r="E6" s="51" t="s">
        <v>107</v>
      </c>
      <c r="F6" s="51" t="s">
        <v>294</v>
      </c>
      <c r="G6" s="51" t="s">
        <v>109</v>
      </c>
      <c r="H6" s="1" t="s">
        <v>719</v>
      </c>
      <c r="I6" s="1" t="s">
        <v>720</v>
      </c>
      <c r="J6" s="51" t="s">
        <v>148</v>
      </c>
      <c r="K6" s="51" t="s">
        <v>112</v>
      </c>
      <c r="L6" s="51" t="s">
        <v>112</v>
      </c>
      <c r="M6" s="1">
        <v>807606</v>
      </c>
      <c r="N6" s="56" t="s">
        <v>721</v>
      </c>
      <c r="O6" s="55">
        <f>DATE(2011,3,14)</f>
        <v>40616</v>
      </c>
      <c r="P6" s="55">
        <f>DATE(2013,12,20)</f>
        <v>41628</v>
      </c>
      <c r="Q6" s="1">
        <v>2800</v>
      </c>
      <c r="S6" s="51">
        <v>2.5</v>
      </c>
      <c r="U6" s="1">
        <f t="shared" si="0"/>
        <v>1013</v>
      </c>
      <c r="V6" s="31">
        <f t="shared" si="1"/>
        <v>2.7640671273445214</v>
      </c>
      <c r="W6" s="31">
        <f t="shared" si="2"/>
        <v>1008.8845014807504</v>
      </c>
      <c r="X6" s="31">
        <f t="shared" si="3"/>
        <v>1.261105626850938</v>
      </c>
      <c r="AA6" s="32">
        <f t="shared" si="4"/>
        <v>42552</v>
      </c>
      <c r="AB6" s="32">
        <f t="shared" si="5"/>
        <v>42735</v>
      </c>
      <c r="AC6" s="50">
        <v>5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0.63055281342546898</v>
      </c>
      <c r="AK6" s="23">
        <f t="shared" si="13"/>
        <v>1.5763820335636725</v>
      </c>
      <c r="AL6" s="23">
        <f t="shared" si="14"/>
        <v>3.9409550839091811</v>
      </c>
      <c r="AM6" s="23">
        <f t="shared" si="15"/>
        <v>1.9704775419545906</v>
      </c>
      <c r="AN6" s="23">
        <f t="shared" si="16"/>
        <v>5.9114326258637719</v>
      </c>
      <c r="AQ6" s="32">
        <f t="shared" si="17"/>
        <v>42736</v>
      </c>
      <c r="AR6" s="32">
        <f t="shared" si="18"/>
        <v>42916</v>
      </c>
      <c r="AS6" s="56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0.63055281342546898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40</v>
      </c>
      <c r="C7" s="1" t="s">
        <v>22</v>
      </c>
      <c r="D7" s="1" t="s">
        <v>41</v>
      </c>
      <c r="E7" s="51" t="s">
        <v>107</v>
      </c>
      <c r="F7" s="51" t="s">
        <v>265</v>
      </c>
      <c r="G7" s="51" t="s">
        <v>109</v>
      </c>
      <c r="H7" s="1" t="s">
        <v>716</v>
      </c>
      <c r="I7" s="1" t="s">
        <v>147</v>
      </c>
      <c r="J7" s="51" t="s">
        <v>148</v>
      </c>
      <c r="K7" s="51" t="s">
        <v>112</v>
      </c>
      <c r="L7" s="51" t="s">
        <v>112</v>
      </c>
      <c r="M7" s="1">
        <v>808972</v>
      </c>
      <c r="N7" s="50" t="s">
        <v>722</v>
      </c>
      <c r="O7" s="55">
        <f>DATE(2011,3,14)</f>
        <v>40616</v>
      </c>
      <c r="P7" s="55">
        <f>DATE(2015,6,20)</f>
        <v>42175</v>
      </c>
      <c r="Q7" s="1">
        <v>4730</v>
      </c>
      <c r="S7" s="51">
        <v>2.5</v>
      </c>
      <c r="U7" s="1">
        <f t="shared" si="0"/>
        <v>1560</v>
      </c>
      <c r="V7" s="31">
        <f t="shared" si="1"/>
        <v>3.0320512820512819</v>
      </c>
      <c r="W7" s="31">
        <f t="shared" si="2"/>
        <v>1106.698717948718</v>
      </c>
      <c r="X7" s="31">
        <f t="shared" si="3"/>
        <v>1.3833733974358975</v>
      </c>
      <c r="AA7" s="32">
        <f t="shared" si="4"/>
        <v>42552</v>
      </c>
      <c r="AB7" s="32">
        <f t="shared" si="5"/>
        <v>42735</v>
      </c>
      <c r="AC7" s="50">
        <v>25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0.69168669871794874</v>
      </c>
      <c r="AK7" s="23">
        <f t="shared" si="13"/>
        <v>8.6460837339743595</v>
      </c>
      <c r="AL7" s="23">
        <f t="shared" si="14"/>
        <v>21.615209334935898</v>
      </c>
      <c r="AM7" s="23">
        <f t="shared" si="15"/>
        <v>10.807604667467949</v>
      </c>
      <c r="AN7" s="23">
        <f t="shared" si="16"/>
        <v>32.422814002403847</v>
      </c>
      <c r="AQ7" s="32">
        <f t="shared" si="17"/>
        <v>42736</v>
      </c>
      <c r="AR7" s="32">
        <f t="shared" si="18"/>
        <v>42916</v>
      </c>
      <c r="AS7" s="50">
        <v>13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0.69168669871794874</v>
      </c>
      <c r="BA7" s="23">
        <f t="shared" si="26"/>
        <v>4.4959635416666668</v>
      </c>
      <c r="BB7" s="23">
        <f t="shared" si="27"/>
        <v>11.239908854166668</v>
      </c>
      <c r="BC7" s="23">
        <f t="shared" si="28"/>
        <v>5.6199544270833339</v>
      </c>
      <c r="BD7" s="23">
        <f t="shared" si="29"/>
        <v>16.85986328125</v>
      </c>
    </row>
    <row r="8" spans="1:57">
      <c r="A8" s="1" t="s">
        <v>20</v>
      </c>
      <c r="B8" s="1" t="s">
        <v>40</v>
      </c>
      <c r="C8" s="1" t="s">
        <v>22</v>
      </c>
      <c r="D8" s="1" t="s">
        <v>41</v>
      </c>
      <c r="E8" s="51" t="s">
        <v>107</v>
      </c>
      <c r="F8" s="51" t="s">
        <v>108</v>
      </c>
      <c r="G8" s="51" t="s">
        <v>109</v>
      </c>
      <c r="H8" s="1" t="s">
        <v>642</v>
      </c>
      <c r="I8" s="1" t="s">
        <v>147</v>
      </c>
      <c r="J8" s="51" t="s">
        <v>148</v>
      </c>
      <c r="K8" s="51" t="s">
        <v>148</v>
      </c>
      <c r="L8" s="51" t="s">
        <v>112</v>
      </c>
      <c r="M8" s="1">
        <v>809925</v>
      </c>
      <c r="N8" s="50" t="s">
        <v>723</v>
      </c>
      <c r="O8" s="55">
        <f>DATE(2011,5,18)</f>
        <v>40681</v>
      </c>
      <c r="P8" s="55">
        <f>DATE(2014,4,20)</f>
        <v>41749</v>
      </c>
      <c r="Q8" s="1">
        <v>4470</v>
      </c>
      <c r="S8" s="51">
        <v>2.5</v>
      </c>
      <c r="U8" s="1">
        <f t="shared" si="0"/>
        <v>1069</v>
      </c>
      <c r="V8" s="31">
        <f t="shared" si="1"/>
        <v>4.1814780168381667</v>
      </c>
      <c r="W8" s="31">
        <f t="shared" si="2"/>
        <v>1526.2394761459309</v>
      </c>
      <c r="X8" s="31">
        <f t="shared" si="3"/>
        <v>1.9077993451824136</v>
      </c>
      <c r="AA8" s="32">
        <f t="shared" si="4"/>
        <v>42552</v>
      </c>
      <c r="AB8" s="32">
        <f t="shared" si="5"/>
        <v>42735</v>
      </c>
      <c r="AC8" s="50">
        <v>1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0.95389967259120678</v>
      </c>
      <c r="AK8" s="23">
        <f t="shared" si="13"/>
        <v>0.47694983629560339</v>
      </c>
      <c r="AL8" s="23">
        <f t="shared" si="14"/>
        <v>1.1923745907390084</v>
      </c>
      <c r="AM8" s="23">
        <f t="shared" si="15"/>
        <v>0.59618729536950421</v>
      </c>
      <c r="AN8" s="23">
        <f t="shared" si="16"/>
        <v>1.7885618861085126</v>
      </c>
      <c r="AQ8" s="32">
        <f t="shared" si="17"/>
        <v>42736</v>
      </c>
      <c r="AR8" s="32">
        <f t="shared" si="18"/>
        <v>42916</v>
      </c>
      <c r="AS8" s="50">
        <v>1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0.95389967259120678</v>
      </c>
      <c r="BA8" s="23">
        <f t="shared" si="26"/>
        <v>0.47694983629560339</v>
      </c>
      <c r="BB8" s="23">
        <f t="shared" si="27"/>
        <v>1.1923745907390084</v>
      </c>
      <c r="BC8" s="23">
        <f t="shared" si="28"/>
        <v>0.59618729536950421</v>
      </c>
      <c r="BD8" s="23">
        <f t="shared" si="29"/>
        <v>1.7885618861085126</v>
      </c>
    </row>
    <row r="9" spans="1:57">
      <c r="A9" s="1" t="s">
        <v>20</v>
      </c>
      <c r="B9" s="1" t="s">
        <v>40</v>
      </c>
      <c r="C9" s="1" t="s">
        <v>22</v>
      </c>
      <c r="D9" s="1" t="s">
        <v>41</v>
      </c>
      <c r="E9" s="51" t="s">
        <v>107</v>
      </c>
      <c r="F9" s="51" t="s">
        <v>108</v>
      </c>
      <c r="G9" s="51" t="s">
        <v>109</v>
      </c>
      <c r="H9" s="1" t="s">
        <v>642</v>
      </c>
      <c r="I9" s="1" t="s">
        <v>147</v>
      </c>
      <c r="J9" s="51" t="s">
        <v>148</v>
      </c>
      <c r="K9" s="51" t="s">
        <v>112</v>
      </c>
      <c r="L9" s="51" t="s">
        <v>112</v>
      </c>
      <c r="M9" s="1">
        <v>1253183</v>
      </c>
      <c r="N9" s="50" t="s">
        <v>724</v>
      </c>
      <c r="O9" s="55">
        <f>DATE(2012,3,12)</f>
        <v>40980</v>
      </c>
      <c r="P9" s="55">
        <f>DATE(2014,12,19)</f>
        <v>41992</v>
      </c>
      <c r="Q9" s="1">
        <v>3980</v>
      </c>
      <c r="S9" s="51">
        <v>2.5</v>
      </c>
      <c r="U9" s="1">
        <f t="shared" si="0"/>
        <v>1013</v>
      </c>
      <c r="V9" s="31">
        <f t="shared" si="1"/>
        <v>3.9289239881539979</v>
      </c>
      <c r="W9" s="31">
        <f t="shared" si="2"/>
        <v>1434.0572556762093</v>
      </c>
      <c r="X9" s="31">
        <f t="shared" si="3"/>
        <v>1.7925715695952615</v>
      </c>
      <c r="AA9" s="32">
        <f t="shared" si="4"/>
        <v>42552</v>
      </c>
      <c r="AB9" s="32">
        <f t="shared" si="5"/>
        <v>42735</v>
      </c>
      <c r="AC9" s="50">
        <v>19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0.89628578479763077</v>
      </c>
      <c r="AK9" s="23">
        <f t="shared" si="13"/>
        <v>8.5147149555774924</v>
      </c>
      <c r="AL9" s="23">
        <f t="shared" si="14"/>
        <v>21.286787388943729</v>
      </c>
      <c r="AM9" s="23">
        <f t="shared" si="15"/>
        <v>10.643393694471865</v>
      </c>
      <c r="AN9" s="23">
        <f t="shared" si="16"/>
        <v>31.930181083415594</v>
      </c>
      <c r="AQ9" s="32">
        <f t="shared" si="17"/>
        <v>42736</v>
      </c>
      <c r="AR9" s="32">
        <f t="shared" si="18"/>
        <v>42916</v>
      </c>
      <c r="AS9" s="50">
        <v>9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0.89628578479763077</v>
      </c>
      <c r="BA9" s="23">
        <f t="shared" si="26"/>
        <v>4.0332860315893386</v>
      </c>
      <c r="BB9" s="23">
        <f t="shared" si="27"/>
        <v>10.083215078973346</v>
      </c>
      <c r="BC9" s="23">
        <f t="shared" si="28"/>
        <v>5.0416075394866731</v>
      </c>
      <c r="BD9" s="23">
        <f t="shared" si="29"/>
        <v>15.124822618460019</v>
      </c>
    </row>
    <row r="10" spans="1:57">
      <c r="A10" s="1" t="s">
        <v>20</v>
      </c>
      <c r="B10" s="1" t="s">
        <v>40</v>
      </c>
      <c r="C10" s="1" t="s">
        <v>22</v>
      </c>
      <c r="D10" s="1" t="s">
        <v>41</v>
      </c>
      <c r="E10" s="51" t="s">
        <v>107</v>
      </c>
      <c r="F10" s="51" t="s">
        <v>108</v>
      </c>
      <c r="G10" s="51" t="s">
        <v>109</v>
      </c>
      <c r="H10" s="1" t="s">
        <v>725</v>
      </c>
      <c r="I10" s="1" t="s">
        <v>147</v>
      </c>
      <c r="J10" s="51" t="s">
        <v>148</v>
      </c>
      <c r="K10" s="51" t="s">
        <v>112</v>
      </c>
      <c r="L10" s="51" t="s">
        <v>112</v>
      </c>
      <c r="M10" s="1">
        <v>1253188</v>
      </c>
      <c r="N10" s="56" t="s">
        <v>726</v>
      </c>
      <c r="O10" s="55">
        <f>DATE(2012,3,12)</f>
        <v>40980</v>
      </c>
      <c r="P10" s="55">
        <f>DATE(2013,8,23)</f>
        <v>41509</v>
      </c>
      <c r="Q10" s="1">
        <v>1469</v>
      </c>
      <c r="S10" s="51">
        <v>2.5</v>
      </c>
      <c r="U10" s="1">
        <f t="shared" si="0"/>
        <v>530</v>
      </c>
      <c r="V10" s="31">
        <f t="shared" si="1"/>
        <v>2.7716981132075471</v>
      </c>
      <c r="W10" s="31">
        <f t="shared" si="2"/>
        <v>1011.6698113207547</v>
      </c>
      <c r="X10" s="31">
        <f t="shared" si="3"/>
        <v>1.2645872641509432</v>
      </c>
      <c r="AA10" s="32">
        <f t="shared" si="4"/>
        <v>42552</v>
      </c>
      <c r="AB10" s="32">
        <f t="shared" si="5"/>
        <v>42735</v>
      </c>
      <c r="AC10" s="50">
        <v>1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0.63229363207547162</v>
      </c>
      <c r="AK10" s="23">
        <f t="shared" si="13"/>
        <v>0.31614681603773581</v>
      </c>
      <c r="AL10" s="23">
        <f t="shared" si="14"/>
        <v>0.79036704009433956</v>
      </c>
      <c r="AM10" s="23">
        <f t="shared" si="15"/>
        <v>0.39518352004716978</v>
      </c>
      <c r="AN10" s="23">
        <f t="shared" si="16"/>
        <v>1.1855505601415093</v>
      </c>
      <c r="AQ10" s="32">
        <f t="shared" si="17"/>
        <v>42736</v>
      </c>
      <c r="AR10" s="32">
        <f t="shared" si="18"/>
        <v>42916</v>
      </c>
      <c r="AS10" s="56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0.63229363207547162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40</v>
      </c>
      <c r="C11" s="1" t="s">
        <v>22</v>
      </c>
      <c r="D11" s="1" t="s">
        <v>41</v>
      </c>
      <c r="E11" s="51" t="s">
        <v>107</v>
      </c>
      <c r="F11" s="51" t="s">
        <v>294</v>
      </c>
      <c r="G11" s="51" t="s">
        <v>109</v>
      </c>
      <c r="H11" s="1" t="s">
        <v>719</v>
      </c>
      <c r="I11" s="1" t="s">
        <v>720</v>
      </c>
      <c r="J11" s="51" t="s">
        <v>148</v>
      </c>
      <c r="K11" s="51" t="s">
        <v>112</v>
      </c>
      <c r="L11" s="51" t="s">
        <v>112</v>
      </c>
      <c r="M11" s="1">
        <v>1253760</v>
      </c>
      <c r="N11" s="50" t="s">
        <v>727</v>
      </c>
      <c r="O11" s="55">
        <f>DATE(2012,3,12)</f>
        <v>40980</v>
      </c>
      <c r="P11" s="55">
        <f>DATE(2015,12,20)</f>
        <v>42358</v>
      </c>
      <c r="Q11" s="1">
        <v>3455</v>
      </c>
      <c r="S11" s="51">
        <v>2.5</v>
      </c>
      <c r="U11" s="1">
        <f t="shared" si="0"/>
        <v>1379</v>
      </c>
      <c r="V11" s="31">
        <f t="shared" si="1"/>
        <v>2.5054387237128353</v>
      </c>
      <c r="W11" s="31">
        <f t="shared" si="2"/>
        <v>914.48513415518482</v>
      </c>
      <c r="X11" s="31">
        <f t="shared" si="3"/>
        <v>1.1431064176939811</v>
      </c>
      <c r="AA11" s="32">
        <f t="shared" si="4"/>
        <v>42552</v>
      </c>
      <c r="AB11" s="32">
        <f t="shared" si="5"/>
        <v>42735</v>
      </c>
      <c r="AC11" s="50">
        <v>15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0.57155320884699057</v>
      </c>
      <c r="AK11" s="23">
        <f t="shared" si="13"/>
        <v>4.286649066352429</v>
      </c>
      <c r="AL11" s="23">
        <f t="shared" si="14"/>
        <v>10.716622665881072</v>
      </c>
      <c r="AM11" s="23">
        <f t="shared" si="15"/>
        <v>5.3583113329405361</v>
      </c>
      <c r="AN11" s="23">
        <f t="shared" si="16"/>
        <v>16.074933998821606</v>
      </c>
      <c r="AQ11" s="32">
        <f t="shared" si="17"/>
        <v>42736</v>
      </c>
      <c r="AR11" s="32">
        <f t="shared" si="18"/>
        <v>42916</v>
      </c>
      <c r="AS11" s="50">
        <v>10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0.57155320884699057</v>
      </c>
      <c r="BA11" s="23">
        <f t="shared" si="26"/>
        <v>2.8577660442349528</v>
      </c>
      <c r="BB11" s="23">
        <f t="shared" si="27"/>
        <v>7.1444151105873823</v>
      </c>
      <c r="BC11" s="23">
        <f t="shared" si="28"/>
        <v>3.5722075552936912</v>
      </c>
      <c r="BD11" s="23">
        <f t="shared" si="29"/>
        <v>10.716622665881074</v>
      </c>
    </row>
    <row r="12" spans="1:57">
      <c r="A12" s="48" t="s">
        <v>20</v>
      </c>
      <c r="B12" s="1" t="s">
        <v>40</v>
      </c>
      <c r="C12" s="1" t="s">
        <v>22</v>
      </c>
      <c r="D12" s="1" t="s">
        <v>41</v>
      </c>
      <c r="E12" s="51" t="s">
        <v>107</v>
      </c>
      <c r="F12" s="51" t="s">
        <v>265</v>
      </c>
      <c r="G12" s="51" t="s">
        <v>109</v>
      </c>
      <c r="H12" s="1" t="s">
        <v>716</v>
      </c>
      <c r="I12" s="1" t="s">
        <v>147</v>
      </c>
      <c r="J12" s="51" t="s">
        <v>148</v>
      </c>
      <c r="K12" s="51" t="s">
        <v>112</v>
      </c>
      <c r="L12" s="51" t="s">
        <v>112</v>
      </c>
      <c r="M12" s="1">
        <v>1253762</v>
      </c>
      <c r="N12" s="50" t="s">
        <v>728</v>
      </c>
      <c r="O12" s="55">
        <f>DATE(2012,3,12)</f>
        <v>40980</v>
      </c>
      <c r="P12" s="55">
        <f>DATE(2016,8,19)</f>
        <v>42601</v>
      </c>
      <c r="Q12" s="1">
        <v>4630</v>
      </c>
      <c r="S12" s="51">
        <v>2.5</v>
      </c>
      <c r="U12" s="1">
        <f t="shared" si="0"/>
        <v>1622</v>
      </c>
      <c r="V12" s="31">
        <f t="shared" si="1"/>
        <v>2.8545006165228113</v>
      </c>
      <c r="W12" s="31">
        <f t="shared" si="2"/>
        <v>1041.8927250308261</v>
      </c>
      <c r="X12" s="31">
        <f t="shared" si="3"/>
        <v>1.3023659062885327</v>
      </c>
      <c r="AA12" s="32">
        <f t="shared" si="4"/>
        <v>42552</v>
      </c>
      <c r="AB12" s="32">
        <f t="shared" si="5"/>
        <v>42735</v>
      </c>
      <c r="AC12" s="50">
        <v>32</v>
      </c>
      <c r="AD12" s="1">
        <f t="shared" si="6"/>
        <v>0</v>
      </c>
      <c r="AE12" s="1">
        <f t="shared" si="7"/>
        <v>0</v>
      </c>
      <c r="AF12" s="1">
        <f t="shared" si="8"/>
        <v>50</v>
      </c>
      <c r="AG12" s="1">
        <f t="shared" si="9"/>
        <v>0</v>
      </c>
      <c r="AH12" s="1">
        <f t="shared" si="10"/>
        <v>0</v>
      </c>
      <c r="AI12" s="23">
        <f t="shared" si="11"/>
        <v>0.27173913043478259</v>
      </c>
      <c r="AJ12" s="23">
        <f t="shared" si="12"/>
        <v>0.35390377888275343</v>
      </c>
      <c r="AK12" s="23">
        <f t="shared" si="13"/>
        <v>11.32492092424811</v>
      </c>
      <c r="AL12" s="23">
        <f t="shared" si="14"/>
        <v>28.312302310620275</v>
      </c>
      <c r="AM12" s="23">
        <f t="shared" si="15"/>
        <v>14.156151155310138</v>
      </c>
      <c r="AN12" s="23">
        <f t="shared" si="16"/>
        <v>42.468453465930409</v>
      </c>
      <c r="AQ12" s="32">
        <f t="shared" si="17"/>
        <v>42736</v>
      </c>
      <c r="AR12" s="32">
        <f t="shared" si="18"/>
        <v>42916</v>
      </c>
      <c r="AS12" s="50">
        <v>32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0.65118295314426633</v>
      </c>
      <c r="BA12" s="23">
        <f t="shared" si="26"/>
        <v>10.418927250308261</v>
      </c>
      <c r="BB12" s="23">
        <f t="shared" si="27"/>
        <v>26.047318125770651</v>
      </c>
      <c r="BC12" s="23">
        <f t="shared" si="28"/>
        <v>13.023659062885326</v>
      </c>
      <c r="BD12" s="23">
        <f t="shared" si="29"/>
        <v>39.070977188655974</v>
      </c>
    </row>
    <row r="13" spans="1:57">
      <c r="A13" s="1" t="s">
        <v>20</v>
      </c>
      <c r="B13" s="1" t="s">
        <v>40</v>
      </c>
      <c r="C13" s="1" t="s">
        <v>22</v>
      </c>
      <c r="D13" s="1" t="s">
        <v>41</v>
      </c>
      <c r="E13" s="51" t="s">
        <v>107</v>
      </c>
      <c r="F13" s="51" t="s">
        <v>556</v>
      </c>
      <c r="G13" s="51" t="s">
        <v>109</v>
      </c>
      <c r="H13" s="1" t="s">
        <v>729</v>
      </c>
      <c r="I13" s="1" t="s">
        <v>234</v>
      </c>
      <c r="J13" s="51" t="s">
        <v>112</v>
      </c>
      <c r="K13" s="51" t="s">
        <v>112</v>
      </c>
      <c r="L13" s="51" t="s">
        <v>112</v>
      </c>
      <c r="M13" s="1">
        <v>1722621</v>
      </c>
      <c r="N13" s="50" t="s">
        <v>730</v>
      </c>
      <c r="O13" s="55">
        <f>DATE(2013,3,18)</f>
        <v>41351</v>
      </c>
      <c r="P13" s="55">
        <f>DATE(2015,3,18)</f>
        <v>42081</v>
      </c>
      <c r="Q13" s="1">
        <v>640</v>
      </c>
      <c r="S13" s="51">
        <v>3.75</v>
      </c>
      <c r="U13" s="1">
        <f t="shared" si="0"/>
        <v>731</v>
      </c>
      <c r="V13" s="31">
        <f t="shared" si="1"/>
        <v>0.87551299589603282</v>
      </c>
      <c r="W13" s="31">
        <f t="shared" si="2"/>
        <v>319.56224350205196</v>
      </c>
      <c r="X13" s="31">
        <f t="shared" si="3"/>
        <v>0.39945280437756492</v>
      </c>
      <c r="AA13" s="32">
        <f t="shared" si="4"/>
        <v>42552</v>
      </c>
      <c r="AB13" s="32">
        <f t="shared" si="5"/>
        <v>42735</v>
      </c>
      <c r="AC13" s="50">
        <v>2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0.19972640218878246</v>
      </c>
      <c r="AK13" s="23">
        <f t="shared" si="13"/>
        <v>0.19972640218878246</v>
      </c>
      <c r="AL13" s="23">
        <f t="shared" si="14"/>
        <v>0.74897400820793425</v>
      </c>
      <c r="AM13" s="23">
        <f t="shared" si="15"/>
        <v>0</v>
      </c>
      <c r="AN13" s="23">
        <f t="shared" si="16"/>
        <v>0.74897400820793425</v>
      </c>
      <c r="AQ13" s="32">
        <f t="shared" si="17"/>
        <v>42736</v>
      </c>
      <c r="AR13" s="32">
        <f t="shared" si="18"/>
        <v>42916</v>
      </c>
      <c r="AS13" s="50">
        <v>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0.19972640218878246</v>
      </c>
      <c r="BA13" s="23">
        <f t="shared" si="26"/>
        <v>0.19972640218878246</v>
      </c>
      <c r="BB13" s="23">
        <f t="shared" si="27"/>
        <v>0.74897400820793425</v>
      </c>
      <c r="BC13" s="23">
        <f t="shared" si="28"/>
        <v>0</v>
      </c>
      <c r="BD13" s="23">
        <f t="shared" si="29"/>
        <v>0.74897400820793425</v>
      </c>
    </row>
    <row r="14" spans="1:57">
      <c r="A14" s="1" t="s">
        <v>20</v>
      </c>
      <c r="B14" s="1" t="s">
        <v>40</v>
      </c>
      <c r="C14" s="1" t="s">
        <v>22</v>
      </c>
      <c r="D14" s="1" t="s">
        <v>41</v>
      </c>
      <c r="E14" s="51" t="s">
        <v>107</v>
      </c>
      <c r="F14" s="51" t="s">
        <v>294</v>
      </c>
      <c r="G14" s="51" t="s">
        <v>109</v>
      </c>
      <c r="H14" s="1" t="s">
        <v>719</v>
      </c>
      <c r="I14" s="1" t="s">
        <v>720</v>
      </c>
      <c r="J14" s="51" t="s">
        <v>148</v>
      </c>
      <c r="K14" s="51" t="s">
        <v>112</v>
      </c>
      <c r="L14" s="51" t="s">
        <v>112</v>
      </c>
      <c r="M14" s="1">
        <v>1722988</v>
      </c>
      <c r="N14" s="50" t="s">
        <v>731</v>
      </c>
      <c r="O14" s="55">
        <f t="shared" ref="O14:O20" si="30">DATE(2013,3,11)</f>
        <v>41344</v>
      </c>
      <c r="P14" s="55">
        <f>DATE(2016,3,11)</f>
        <v>42440</v>
      </c>
      <c r="Q14" s="1">
        <v>3395</v>
      </c>
      <c r="S14" s="51">
        <v>2.5</v>
      </c>
      <c r="U14" s="1">
        <f t="shared" si="0"/>
        <v>1097</v>
      </c>
      <c r="V14" s="31">
        <f t="shared" si="1"/>
        <v>3.0948040109389243</v>
      </c>
      <c r="W14" s="31">
        <f t="shared" si="2"/>
        <v>1129.6034639927075</v>
      </c>
      <c r="X14" s="31">
        <f t="shared" si="3"/>
        <v>1.4120043299908844</v>
      </c>
      <c r="AA14" s="32">
        <f t="shared" si="4"/>
        <v>42552</v>
      </c>
      <c r="AB14" s="32">
        <f t="shared" si="5"/>
        <v>42735</v>
      </c>
      <c r="AC14" s="50">
        <v>36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0.70600216499544222</v>
      </c>
      <c r="AK14" s="23">
        <f t="shared" si="13"/>
        <v>12.708038969917959</v>
      </c>
      <c r="AL14" s="23">
        <f t="shared" si="14"/>
        <v>31.770097424794898</v>
      </c>
      <c r="AM14" s="23">
        <f t="shared" si="15"/>
        <v>15.885048712397449</v>
      </c>
      <c r="AN14" s="23">
        <f t="shared" si="16"/>
        <v>47.655146137192347</v>
      </c>
      <c r="AQ14" s="32">
        <f t="shared" si="17"/>
        <v>42736</v>
      </c>
      <c r="AR14" s="32">
        <f t="shared" si="18"/>
        <v>42916</v>
      </c>
      <c r="AS14" s="50">
        <v>34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0.70600216499544222</v>
      </c>
      <c r="BA14" s="23">
        <f t="shared" si="26"/>
        <v>12.002036804922518</v>
      </c>
      <c r="BB14" s="23">
        <f t="shared" si="27"/>
        <v>30.005092012306296</v>
      </c>
      <c r="BC14" s="23">
        <f t="shared" si="28"/>
        <v>15.002546006153148</v>
      </c>
      <c r="BD14" s="23">
        <f t="shared" si="29"/>
        <v>45.007638018459446</v>
      </c>
    </row>
    <row r="15" spans="1:57">
      <c r="A15" s="1" t="s">
        <v>20</v>
      </c>
      <c r="B15" s="1" t="s">
        <v>40</v>
      </c>
      <c r="C15" s="1" t="s">
        <v>22</v>
      </c>
      <c r="D15" s="1" t="s">
        <v>41</v>
      </c>
      <c r="E15" s="51" t="s">
        <v>107</v>
      </c>
      <c r="F15" s="51" t="s">
        <v>265</v>
      </c>
      <c r="G15" s="51" t="s">
        <v>109</v>
      </c>
      <c r="H15" s="1" t="s">
        <v>716</v>
      </c>
      <c r="I15" s="1" t="s">
        <v>147</v>
      </c>
      <c r="J15" s="51" t="s">
        <v>148</v>
      </c>
      <c r="K15" s="51" t="s">
        <v>112</v>
      </c>
      <c r="L15" s="51" t="s">
        <v>112</v>
      </c>
      <c r="M15" s="1">
        <v>1723207</v>
      </c>
      <c r="N15" s="51" t="s">
        <v>732</v>
      </c>
      <c r="O15" s="55">
        <f t="shared" si="30"/>
        <v>41344</v>
      </c>
      <c r="P15" s="55">
        <f>DATE(2017,7,7)</f>
        <v>42923</v>
      </c>
      <c r="Q15" s="1">
        <v>4730</v>
      </c>
      <c r="S15" s="51">
        <v>2.5</v>
      </c>
      <c r="U15" s="1">
        <f t="shared" si="0"/>
        <v>1580</v>
      </c>
      <c r="V15" s="31">
        <f t="shared" si="1"/>
        <v>2.9936708860759493</v>
      </c>
      <c r="W15" s="31">
        <f t="shared" si="2"/>
        <v>1092.6898734177214</v>
      </c>
      <c r="X15" s="31">
        <f t="shared" si="3"/>
        <v>1.3658623417721518</v>
      </c>
      <c r="AA15" s="32">
        <f t="shared" si="4"/>
        <v>42552</v>
      </c>
      <c r="AB15" s="32">
        <f t="shared" si="5"/>
        <v>42735</v>
      </c>
      <c r="AC15" s="51">
        <v>38</v>
      </c>
      <c r="AD15" s="1">
        <f t="shared" si="6"/>
        <v>184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0</v>
      </c>
      <c r="AI15" s="23">
        <f t="shared" si="11"/>
        <v>1</v>
      </c>
      <c r="AJ15" s="23">
        <f t="shared" si="12"/>
        <v>1.3658623417721518</v>
      </c>
      <c r="AK15" s="23">
        <f t="shared" si="13"/>
        <v>51.902768987341773</v>
      </c>
      <c r="AL15" s="23">
        <f t="shared" si="14"/>
        <v>129.75692246835445</v>
      </c>
      <c r="AM15" s="23">
        <f t="shared" si="15"/>
        <v>64.878461234177223</v>
      </c>
      <c r="AN15" s="23">
        <f t="shared" si="16"/>
        <v>194.63538370253167</v>
      </c>
      <c r="AQ15" s="32">
        <f t="shared" si="17"/>
        <v>42736</v>
      </c>
      <c r="AR15" s="32">
        <f t="shared" si="18"/>
        <v>42916</v>
      </c>
      <c r="AS15" s="51">
        <v>38</v>
      </c>
      <c r="AT15" s="1">
        <f t="shared" si="19"/>
        <v>181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0</v>
      </c>
      <c r="AY15" s="23">
        <f t="shared" si="24"/>
        <v>1</v>
      </c>
      <c r="AZ15" s="23">
        <f t="shared" si="25"/>
        <v>1.3658623417721518</v>
      </c>
      <c r="BA15" s="23">
        <f t="shared" si="26"/>
        <v>51.902768987341773</v>
      </c>
      <c r="BB15" s="23">
        <f t="shared" si="27"/>
        <v>129.75692246835445</v>
      </c>
      <c r="BC15" s="23">
        <f t="shared" si="28"/>
        <v>64.878461234177223</v>
      </c>
      <c r="BD15" s="23">
        <f t="shared" si="29"/>
        <v>194.63538370253167</v>
      </c>
    </row>
    <row r="16" spans="1:57">
      <c r="A16" s="1" t="s">
        <v>20</v>
      </c>
      <c r="B16" s="1" t="s">
        <v>40</v>
      </c>
      <c r="C16" s="1" t="s">
        <v>22</v>
      </c>
      <c r="D16" s="1" t="s">
        <v>41</v>
      </c>
      <c r="E16" s="51" t="s">
        <v>107</v>
      </c>
      <c r="F16" s="51" t="s">
        <v>108</v>
      </c>
      <c r="G16" s="51" t="s">
        <v>109</v>
      </c>
      <c r="H16" s="1" t="s">
        <v>642</v>
      </c>
      <c r="I16" s="1" t="s">
        <v>147</v>
      </c>
      <c r="J16" s="51" t="s">
        <v>148</v>
      </c>
      <c r="K16" s="51" t="s">
        <v>112</v>
      </c>
      <c r="L16" s="51" t="s">
        <v>112</v>
      </c>
      <c r="M16" s="1">
        <v>1724300</v>
      </c>
      <c r="N16" s="50" t="s">
        <v>733</v>
      </c>
      <c r="O16" s="55">
        <f t="shared" si="30"/>
        <v>41344</v>
      </c>
      <c r="P16" s="55">
        <f>DATE(2015,12,20)</f>
        <v>42358</v>
      </c>
      <c r="Q16" s="1">
        <v>4340</v>
      </c>
      <c r="S16" s="51">
        <v>2.5</v>
      </c>
      <c r="U16" s="1">
        <f t="shared" si="0"/>
        <v>1015</v>
      </c>
      <c r="V16" s="31">
        <f t="shared" si="1"/>
        <v>4.2758620689655169</v>
      </c>
      <c r="W16" s="31">
        <f t="shared" si="2"/>
        <v>1560.6896551724137</v>
      </c>
      <c r="X16" s="31">
        <f t="shared" si="3"/>
        <v>1.9508620689655172</v>
      </c>
      <c r="AA16" s="32">
        <f t="shared" si="4"/>
        <v>42552</v>
      </c>
      <c r="AB16" s="32">
        <f t="shared" si="5"/>
        <v>42735</v>
      </c>
      <c r="AC16" s="50">
        <v>40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0.97543103448275859</v>
      </c>
      <c r="AK16" s="23">
        <f t="shared" si="13"/>
        <v>19.508620689655171</v>
      </c>
      <c r="AL16" s="23">
        <f t="shared" si="14"/>
        <v>48.771551724137929</v>
      </c>
      <c r="AM16" s="23">
        <f t="shared" si="15"/>
        <v>24.385775862068964</v>
      </c>
      <c r="AN16" s="23">
        <f t="shared" si="16"/>
        <v>73.15732758620689</v>
      </c>
      <c r="AQ16" s="32">
        <f t="shared" si="17"/>
        <v>42736</v>
      </c>
      <c r="AR16" s="32">
        <f t="shared" si="18"/>
        <v>42916</v>
      </c>
      <c r="AS16" s="50">
        <v>15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0.97543103448275859</v>
      </c>
      <c r="BA16" s="23">
        <f t="shared" si="26"/>
        <v>7.3157327586206895</v>
      </c>
      <c r="BB16" s="23">
        <f t="shared" si="27"/>
        <v>18.289331896551722</v>
      </c>
      <c r="BC16" s="23">
        <f t="shared" si="28"/>
        <v>9.1446659482758612</v>
      </c>
      <c r="BD16" s="23">
        <f t="shared" si="29"/>
        <v>27.433997844827584</v>
      </c>
    </row>
    <row r="17" spans="1:56">
      <c r="A17" s="1" t="s">
        <v>20</v>
      </c>
      <c r="B17" s="1" t="s">
        <v>40</v>
      </c>
      <c r="C17" s="1" t="s">
        <v>22</v>
      </c>
      <c r="D17" s="1" t="s">
        <v>41</v>
      </c>
      <c r="E17" s="51" t="s">
        <v>107</v>
      </c>
      <c r="F17" s="51" t="s">
        <v>108</v>
      </c>
      <c r="G17" s="51" t="s">
        <v>109</v>
      </c>
      <c r="H17" s="1" t="s">
        <v>642</v>
      </c>
      <c r="I17" s="1" t="s">
        <v>147</v>
      </c>
      <c r="J17" s="51" t="s">
        <v>148</v>
      </c>
      <c r="K17" s="51" t="s">
        <v>112</v>
      </c>
      <c r="L17" s="51" t="s">
        <v>112</v>
      </c>
      <c r="M17" s="1">
        <v>1724303</v>
      </c>
      <c r="N17" s="50" t="s">
        <v>734</v>
      </c>
      <c r="O17" s="55">
        <f t="shared" si="30"/>
        <v>41344</v>
      </c>
      <c r="P17" s="55">
        <f>DATE(2014,2,10)</f>
        <v>41680</v>
      </c>
      <c r="Q17" s="1">
        <v>1670</v>
      </c>
      <c r="S17" s="51">
        <v>2.5</v>
      </c>
      <c r="U17" s="1">
        <f t="shared" si="0"/>
        <v>337</v>
      </c>
      <c r="V17" s="31">
        <f t="shared" si="1"/>
        <v>4.9554896142433238</v>
      </c>
      <c r="W17" s="31">
        <f t="shared" si="2"/>
        <v>1670</v>
      </c>
      <c r="X17" s="31">
        <f t="shared" si="3"/>
        <v>2.0874999999999999</v>
      </c>
      <c r="AA17" s="32">
        <f t="shared" si="4"/>
        <v>42552</v>
      </c>
      <c r="AB17" s="32">
        <f t="shared" si="5"/>
        <v>42735</v>
      </c>
      <c r="AC17" s="50">
        <v>7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1.04375</v>
      </c>
      <c r="AK17" s="23">
        <f t="shared" si="13"/>
        <v>3.6531249999999997</v>
      </c>
      <c r="AL17" s="23">
        <f t="shared" si="14"/>
        <v>9.1328125</v>
      </c>
      <c r="AM17" s="23">
        <f t="shared" si="15"/>
        <v>4.56640625</v>
      </c>
      <c r="AN17" s="23">
        <f t="shared" si="16"/>
        <v>13.69921875</v>
      </c>
      <c r="AQ17" s="32">
        <f t="shared" si="17"/>
        <v>42736</v>
      </c>
      <c r="AR17" s="32">
        <f t="shared" si="18"/>
        <v>42916</v>
      </c>
      <c r="AS17" s="50">
        <v>4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1.04375</v>
      </c>
      <c r="BA17" s="23">
        <f t="shared" si="26"/>
        <v>2.0874999999999999</v>
      </c>
      <c r="BB17" s="23">
        <f t="shared" si="27"/>
        <v>5.21875</v>
      </c>
      <c r="BC17" s="23">
        <f t="shared" si="28"/>
        <v>2.609375</v>
      </c>
      <c r="BD17" s="23">
        <f t="shared" si="29"/>
        <v>7.828125</v>
      </c>
    </row>
    <row r="18" spans="1:56">
      <c r="A18" s="1" t="s">
        <v>20</v>
      </c>
      <c r="B18" s="1" t="s">
        <v>40</v>
      </c>
      <c r="C18" s="1" t="s">
        <v>22</v>
      </c>
      <c r="D18" s="1" t="s">
        <v>41</v>
      </c>
      <c r="E18" s="51" t="s">
        <v>107</v>
      </c>
      <c r="F18" s="51" t="s">
        <v>108</v>
      </c>
      <c r="G18" s="51" t="s">
        <v>109</v>
      </c>
      <c r="H18" s="1" t="s">
        <v>735</v>
      </c>
      <c r="I18" s="1" t="s">
        <v>720</v>
      </c>
      <c r="J18" s="51" t="s">
        <v>148</v>
      </c>
      <c r="K18" s="51" t="s">
        <v>112</v>
      </c>
      <c r="L18" s="51" t="s">
        <v>112</v>
      </c>
      <c r="M18" s="1">
        <v>1724305</v>
      </c>
      <c r="N18" s="50" t="s">
        <v>736</v>
      </c>
      <c r="O18" s="55">
        <f t="shared" si="30"/>
        <v>41344</v>
      </c>
      <c r="P18" s="55">
        <f>DATE(2014,12,20)</f>
        <v>41993</v>
      </c>
      <c r="Q18" s="1">
        <v>1820</v>
      </c>
      <c r="S18" s="51">
        <v>2.5</v>
      </c>
      <c r="U18" s="1">
        <f t="shared" si="0"/>
        <v>650</v>
      </c>
      <c r="V18" s="31">
        <f t="shared" si="1"/>
        <v>2.8</v>
      </c>
      <c r="W18" s="31">
        <f t="shared" si="2"/>
        <v>1021.9999999999999</v>
      </c>
      <c r="X18" s="31">
        <f t="shared" si="3"/>
        <v>1.2774999999999999</v>
      </c>
      <c r="AA18" s="32">
        <f t="shared" si="4"/>
        <v>42552</v>
      </c>
      <c r="AB18" s="32">
        <f t="shared" si="5"/>
        <v>42735</v>
      </c>
      <c r="AC18" s="50">
        <v>5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0.63874999999999993</v>
      </c>
      <c r="AK18" s="23">
        <f t="shared" si="13"/>
        <v>1.5968749999999998</v>
      </c>
      <c r="AL18" s="23">
        <f t="shared" si="14"/>
        <v>3.9921874999999996</v>
      </c>
      <c r="AM18" s="23">
        <f t="shared" si="15"/>
        <v>1.9960937499999998</v>
      </c>
      <c r="AN18" s="23">
        <f t="shared" si="16"/>
        <v>5.9882812499999991</v>
      </c>
      <c r="AQ18" s="32">
        <f t="shared" si="17"/>
        <v>42736</v>
      </c>
      <c r="AR18" s="32">
        <f t="shared" si="18"/>
        <v>42916</v>
      </c>
      <c r="AS18" s="50">
        <v>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0.63874999999999993</v>
      </c>
      <c r="BA18" s="23">
        <f t="shared" si="26"/>
        <v>1.5968749999999998</v>
      </c>
      <c r="BB18" s="23">
        <f t="shared" si="27"/>
        <v>3.9921874999999996</v>
      </c>
      <c r="BC18" s="23">
        <f t="shared" si="28"/>
        <v>1.9960937499999998</v>
      </c>
      <c r="BD18" s="23">
        <f t="shared" si="29"/>
        <v>5.9882812499999991</v>
      </c>
    </row>
    <row r="19" spans="1:56">
      <c r="A19" s="1" t="s">
        <v>20</v>
      </c>
      <c r="B19" s="1" t="s">
        <v>40</v>
      </c>
      <c r="C19" s="1" t="s">
        <v>22</v>
      </c>
      <c r="D19" s="1" t="s">
        <v>41</v>
      </c>
      <c r="E19" s="51" t="s">
        <v>107</v>
      </c>
      <c r="F19" s="51" t="s">
        <v>108</v>
      </c>
      <c r="G19" s="51" t="s">
        <v>109</v>
      </c>
      <c r="H19" s="1" t="s">
        <v>136</v>
      </c>
      <c r="I19" s="1" t="s">
        <v>131</v>
      </c>
      <c r="J19" s="51" t="s">
        <v>112</v>
      </c>
      <c r="K19" s="51" t="s">
        <v>112</v>
      </c>
      <c r="L19" s="51" t="s">
        <v>112</v>
      </c>
      <c r="M19" s="1">
        <v>1724313</v>
      </c>
      <c r="N19" s="75" t="s">
        <v>737</v>
      </c>
      <c r="O19" s="55">
        <f t="shared" si="30"/>
        <v>41344</v>
      </c>
      <c r="P19" s="55">
        <f>DATE(2013,12,20)</f>
        <v>41628</v>
      </c>
      <c r="Q19" s="1">
        <v>1240</v>
      </c>
      <c r="S19" s="51">
        <v>1</v>
      </c>
      <c r="U19" s="1">
        <f t="shared" si="0"/>
        <v>285</v>
      </c>
      <c r="V19" s="31">
        <f t="shared" si="1"/>
        <v>4.3508771929824563</v>
      </c>
      <c r="W19" s="31">
        <f t="shared" si="2"/>
        <v>1240</v>
      </c>
      <c r="X19" s="31">
        <f t="shared" si="3"/>
        <v>1.55</v>
      </c>
      <c r="AA19" s="32">
        <f t="shared" si="4"/>
        <v>42552</v>
      </c>
      <c r="AB19" s="32">
        <f t="shared" si="5"/>
        <v>42735</v>
      </c>
      <c r="AC19" s="50">
        <v>3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0.77500000000000002</v>
      </c>
      <c r="AK19" s="23">
        <f t="shared" si="13"/>
        <v>1.1625000000000001</v>
      </c>
      <c r="AL19" s="23">
        <f t="shared" si="14"/>
        <v>1.1625000000000001</v>
      </c>
      <c r="AM19" s="23">
        <f t="shared" si="15"/>
        <v>0</v>
      </c>
      <c r="AN19" s="23">
        <f t="shared" si="16"/>
        <v>1.1625000000000001</v>
      </c>
      <c r="AQ19" s="32">
        <f t="shared" si="17"/>
        <v>42736</v>
      </c>
      <c r="AR19" s="32">
        <f t="shared" si="18"/>
        <v>42916</v>
      </c>
      <c r="AS19" s="56">
        <v>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0.77500000000000002</v>
      </c>
      <c r="BA19" s="23">
        <f t="shared" si="26"/>
        <v>0</v>
      </c>
      <c r="BB19" s="23">
        <f t="shared" si="27"/>
        <v>0</v>
      </c>
      <c r="BC19" s="23">
        <f t="shared" si="28"/>
        <v>0</v>
      </c>
      <c r="BD19" s="23">
        <f t="shared" si="29"/>
        <v>0</v>
      </c>
    </row>
    <row r="20" spans="1:56">
      <c r="A20" s="1" t="s">
        <v>20</v>
      </c>
      <c r="B20" s="1" t="s">
        <v>40</v>
      </c>
      <c r="C20" s="1" t="s">
        <v>22</v>
      </c>
      <c r="D20" s="1" t="s">
        <v>41</v>
      </c>
      <c r="E20" s="51" t="s">
        <v>107</v>
      </c>
      <c r="F20" s="51" t="s">
        <v>108</v>
      </c>
      <c r="G20" s="51" t="s">
        <v>109</v>
      </c>
      <c r="H20" s="1" t="s">
        <v>216</v>
      </c>
      <c r="I20" s="1" t="s">
        <v>111</v>
      </c>
      <c r="J20" s="51" t="s">
        <v>112</v>
      </c>
      <c r="K20" s="51" t="s">
        <v>112</v>
      </c>
      <c r="L20" s="51" t="s">
        <v>112</v>
      </c>
      <c r="M20" s="1">
        <v>1724318</v>
      </c>
      <c r="N20" s="56" t="s">
        <v>738</v>
      </c>
      <c r="O20" s="55">
        <f t="shared" si="30"/>
        <v>41344</v>
      </c>
      <c r="P20" s="55">
        <f>DATE(2013,12,20)</f>
        <v>41628</v>
      </c>
      <c r="Q20" s="1">
        <v>1240</v>
      </c>
      <c r="S20" s="51">
        <v>2</v>
      </c>
      <c r="U20" s="1">
        <f t="shared" si="0"/>
        <v>285</v>
      </c>
      <c r="V20" s="31">
        <f t="shared" si="1"/>
        <v>4.3508771929824563</v>
      </c>
      <c r="W20" s="31">
        <f t="shared" si="2"/>
        <v>1240</v>
      </c>
      <c r="X20" s="31">
        <f t="shared" si="3"/>
        <v>1.55</v>
      </c>
      <c r="AA20" s="32">
        <f t="shared" si="4"/>
        <v>42552</v>
      </c>
      <c r="AB20" s="32">
        <f t="shared" si="5"/>
        <v>42735</v>
      </c>
      <c r="AC20" s="50">
        <v>7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0.77500000000000002</v>
      </c>
      <c r="AK20" s="23">
        <f t="shared" si="13"/>
        <v>2.7124999999999999</v>
      </c>
      <c r="AL20" s="23">
        <f t="shared" si="14"/>
        <v>5.4249999999999998</v>
      </c>
      <c r="AM20" s="23">
        <f t="shared" si="15"/>
        <v>0</v>
      </c>
      <c r="AN20" s="23">
        <f t="shared" si="16"/>
        <v>5.4249999999999998</v>
      </c>
      <c r="AQ20" s="32">
        <f t="shared" si="17"/>
        <v>42736</v>
      </c>
      <c r="AR20" s="32">
        <f t="shared" si="18"/>
        <v>42916</v>
      </c>
      <c r="AS20" s="56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0.77500000000000002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40</v>
      </c>
      <c r="C21" s="1" t="s">
        <v>22</v>
      </c>
      <c r="D21" s="1" t="s">
        <v>41</v>
      </c>
      <c r="E21" s="51" t="s">
        <v>107</v>
      </c>
      <c r="F21" s="51" t="s">
        <v>108</v>
      </c>
      <c r="G21" s="51" t="s">
        <v>109</v>
      </c>
      <c r="H21" s="1" t="s">
        <v>642</v>
      </c>
      <c r="I21" s="1" t="s">
        <v>147</v>
      </c>
      <c r="J21" s="51" t="s">
        <v>148</v>
      </c>
      <c r="K21" s="51" t="s">
        <v>148</v>
      </c>
      <c r="L21" s="51" t="s">
        <v>112</v>
      </c>
      <c r="M21" s="1">
        <v>1782330</v>
      </c>
      <c r="N21" s="50" t="s">
        <v>739</v>
      </c>
      <c r="O21" s="55">
        <f>DATE(2013,6,4)</f>
        <v>41429</v>
      </c>
      <c r="P21" s="55">
        <f>DATE(2016,1,20)</f>
        <v>42389</v>
      </c>
      <c r="Q21" s="1">
        <v>4670</v>
      </c>
      <c r="S21" s="51">
        <v>2.5</v>
      </c>
      <c r="U21" s="1">
        <f t="shared" si="0"/>
        <v>961</v>
      </c>
      <c r="V21" s="31">
        <f t="shared" si="1"/>
        <v>4.8595213319458894</v>
      </c>
      <c r="W21" s="31">
        <f t="shared" si="2"/>
        <v>1773.7252861602497</v>
      </c>
      <c r="X21" s="31">
        <f t="shared" si="3"/>
        <v>2.217156607700312</v>
      </c>
      <c r="AA21" s="32">
        <f t="shared" si="4"/>
        <v>42552</v>
      </c>
      <c r="AB21" s="32">
        <f t="shared" si="5"/>
        <v>42735</v>
      </c>
      <c r="AC21" s="50">
        <v>39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1.108578303850156</v>
      </c>
      <c r="AK21" s="23">
        <f t="shared" si="13"/>
        <v>21.617276925078041</v>
      </c>
      <c r="AL21" s="23">
        <f t="shared" si="14"/>
        <v>54.043192312695105</v>
      </c>
      <c r="AM21" s="23">
        <f t="shared" si="15"/>
        <v>27.021596156347552</v>
      </c>
      <c r="AN21" s="23">
        <f t="shared" si="16"/>
        <v>81.064788469042654</v>
      </c>
      <c r="AQ21" s="32">
        <f t="shared" si="17"/>
        <v>42736</v>
      </c>
      <c r="AR21" s="32">
        <f t="shared" si="18"/>
        <v>42916</v>
      </c>
      <c r="AS21" s="50">
        <v>3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1.108578303850156</v>
      </c>
      <c r="BA21" s="23">
        <f t="shared" si="26"/>
        <v>1.6628674557752339</v>
      </c>
      <c r="BB21" s="23">
        <f t="shared" si="27"/>
        <v>4.1571686394380851</v>
      </c>
      <c r="BC21" s="23">
        <f t="shared" si="28"/>
        <v>2.0785843197190426</v>
      </c>
      <c r="BD21" s="23">
        <f t="shared" si="29"/>
        <v>6.2357529591571277</v>
      </c>
    </row>
    <row r="22" spans="1:56">
      <c r="A22" s="1" t="s">
        <v>20</v>
      </c>
      <c r="B22" s="1" t="s">
        <v>40</v>
      </c>
      <c r="C22" s="1" t="s">
        <v>22</v>
      </c>
      <c r="D22" s="1" t="s">
        <v>41</v>
      </c>
      <c r="E22" s="51" t="s">
        <v>107</v>
      </c>
      <c r="F22" s="51" t="s">
        <v>108</v>
      </c>
      <c r="G22" s="51" t="s">
        <v>109</v>
      </c>
      <c r="H22" s="1" t="s">
        <v>260</v>
      </c>
      <c r="I22" s="1" t="s">
        <v>147</v>
      </c>
      <c r="J22" s="51" t="s">
        <v>148</v>
      </c>
      <c r="K22" s="51" t="s">
        <v>112</v>
      </c>
      <c r="L22" s="51" t="s">
        <v>112</v>
      </c>
      <c r="M22" s="1">
        <v>1845292</v>
      </c>
      <c r="N22" s="50" t="s">
        <v>740</v>
      </c>
      <c r="O22" s="55">
        <f>DATE(2013,6,3)</f>
        <v>41428</v>
      </c>
      <c r="P22" s="55">
        <f>DATE(2015,6,26)</f>
        <v>42181</v>
      </c>
      <c r="Q22" s="1">
        <v>1960</v>
      </c>
      <c r="S22" s="51">
        <v>2</v>
      </c>
      <c r="U22" s="1">
        <f t="shared" si="0"/>
        <v>754</v>
      </c>
      <c r="V22" s="31">
        <f t="shared" si="1"/>
        <v>2.5994694960212201</v>
      </c>
      <c r="W22" s="31">
        <f t="shared" si="2"/>
        <v>948.80636604774531</v>
      </c>
      <c r="X22" s="31">
        <f t="shared" si="3"/>
        <v>1.1860079575596816</v>
      </c>
      <c r="AA22" s="32">
        <f t="shared" si="4"/>
        <v>42552</v>
      </c>
      <c r="AB22" s="32">
        <f t="shared" si="5"/>
        <v>42735</v>
      </c>
      <c r="AC22" s="50">
        <v>26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0.59300397877984079</v>
      </c>
      <c r="AK22" s="23">
        <f t="shared" si="13"/>
        <v>7.7090517241379306</v>
      </c>
      <c r="AL22" s="23">
        <f t="shared" si="14"/>
        <v>15.418103448275861</v>
      </c>
      <c r="AM22" s="23">
        <f t="shared" si="15"/>
        <v>7.7090517241379306</v>
      </c>
      <c r="AN22" s="23">
        <f t="shared" si="16"/>
        <v>23.127155172413794</v>
      </c>
      <c r="AQ22" s="32">
        <f t="shared" si="17"/>
        <v>42736</v>
      </c>
      <c r="AR22" s="32">
        <f t="shared" si="18"/>
        <v>42916</v>
      </c>
      <c r="AS22" s="50">
        <v>26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0.59300397877984079</v>
      </c>
      <c r="BA22" s="23">
        <f t="shared" si="26"/>
        <v>7.7090517241379306</v>
      </c>
      <c r="BB22" s="23">
        <f t="shared" si="27"/>
        <v>15.418103448275861</v>
      </c>
      <c r="BC22" s="23">
        <f t="shared" si="28"/>
        <v>7.7090517241379306</v>
      </c>
      <c r="BD22" s="23">
        <f t="shared" si="29"/>
        <v>23.127155172413794</v>
      </c>
    </row>
    <row r="23" spans="1:56">
      <c r="A23" s="1" t="s">
        <v>20</v>
      </c>
      <c r="B23" s="1" t="s">
        <v>40</v>
      </c>
      <c r="C23" s="1" t="s">
        <v>22</v>
      </c>
      <c r="D23" s="1" t="s">
        <v>41</v>
      </c>
      <c r="E23" s="51" t="s">
        <v>107</v>
      </c>
      <c r="F23" s="51" t="s">
        <v>108</v>
      </c>
      <c r="G23" s="51" t="s">
        <v>109</v>
      </c>
      <c r="H23" s="1" t="s">
        <v>110</v>
      </c>
      <c r="I23" s="1" t="s">
        <v>111</v>
      </c>
      <c r="J23" s="51" t="s">
        <v>112</v>
      </c>
      <c r="K23" s="51" t="s">
        <v>112</v>
      </c>
      <c r="L23" s="51" t="s">
        <v>112</v>
      </c>
      <c r="M23" s="1">
        <v>1845293</v>
      </c>
      <c r="N23" s="50" t="s">
        <v>741</v>
      </c>
      <c r="O23" s="55">
        <f>DATE(2013,6,3)</f>
        <v>41428</v>
      </c>
      <c r="P23" s="55">
        <f>DATE(2015,6,26)</f>
        <v>42181</v>
      </c>
      <c r="Q23" s="1">
        <v>1520</v>
      </c>
      <c r="S23" s="51">
        <v>2</v>
      </c>
      <c r="U23" s="1">
        <f t="shared" si="0"/>
        <v>754</v>
      </c>
      <c r="V23" s="31">
        <f t="shared" si="1"/>
        <v>2.0159151193633953</v>
      </c>
      <c r="W23" s="31">
        <f t="shared" si="2"/>
        <v>735.80901856763933</v>
      </c>
      <c r="X23" s="31">
        <f t="shared" si="3"/>
        <v>0.91976127320954915</v>
      </c>
      <c r="AA23" s="32">
        <f t="shared" si="4"/>
        <v>42552</v>
      </c>
      <c r="AB23" s="32">
        <f t="shared" si="5"/>
        <v>42735</v>
      </c>
      <c r="AC23" s="50">
        <v>21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0.45988063660477457</v>
      </c>
      <c r="AK23" s="23">
        <f t="shared" si="13"/>
        <v>4.8287466843501328</v>
      </c>
      <c r="AL23" s="23">
        <f t="shared" si="14"/>
        <v>9.6574933687002655</v>
      </c>
      <c r="AM23" s="23">
        <f t="shared" si="15"/>
        <v>0</v>
      </c>
      <c r="AN23" s="23">
        <f t="shared" si="16"/>
        <v>9.6574933687002655</v>
      </c>
      <c r="AQ23" s="32">
        <f t="shared" si="17"/>
        <v>42736</v>
      </c>
      <c r="AR23" s="32">
        <f t="shared" si="18"/>
        <v>42916</v>
      </c>
      <c r="AS23" s="50">
        <v>21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0.45988063660477457</v>
      </c>
      <c r="BA23" s="23">
        <f t="shared" si="26"/>
        <v>4.8287466843501328</v>
      </c>
      <c r="BB23" s="23">
        <f t="shared" si="27"/>
        <v>9.6574933687002655</v>
      </c>
      <c r="BC23" s="23">
        <f t="shared" si="28"/>
        <v>0</v>
      </c>
      <c r="BD23" s="23">
        <f t="shared" si="29"/>
        <v>9.6574933687002655</v>
      </c>
    </row>
    <row r="24" spans="1:56">
      <c r="A24" s="1" t="s">
        <v>20</v>
      </c>
      <c r="B24" s="1" t="s">
        <v>40</v>
      </c>
      <c r="C24" s="1" t="s">
        <v>22</v>
      </c>
      <c r="D24" s="1" t="s">
        <v>41</v>
      </c>
      <c r="E24" s="51" t="s">
        <v>107</v>
      </c>
      <c r="F24" s="51" t="s">
        <v>108</v>
      </c>
      <c r="G24" s="51" t="s">
        <v>109</v>
      </c>
      <c r="H24" s="1" t="s">
        <v>642</v>
      </c>
      <c r="I24" s="1" t="s">
        <v>147</v>
      </c>
      <c r="J24" s="51" t="s">
        <v>148</v>
      </c>
      <c r="K24" s="51" t="s">
        <v>112</v>
      </c>
      <c r="L24" s="51" t="s">
        <v>112</v>
      </c>
      <c r="M24" s="1">
        <v>1940830</v>
      </c>
      <c r="N24" s="50" t="s">
        <v>742</v>
      </c>
      <c r="O24" s="55">
        <f t="shared" ref="O24:O29" si="31">DATE(2014,2,10)</f>
        <v>41680</v>
      </c>
      <c r="P24" s="55">
        <f>DATE(2016,12,20)</f>
        <v>42724</v>
      </c>
      <c r="Q24" s="1">
        <v>4340</v>
      </c>
      <c r="S24" s="51">
        <v>2.5</v>
      </c>
      <c r="U24" s="1">
        <f t="shared" si="0"/>
        <v>1045</v>
      </c>
      <c r="V24" s="31">
        <f t="shared" si="1"/>
        <v>4.1531100478468899</v>
      </c>
      <c r="W24" s="31">
        <f t="shared" si="2"/>
        <v>1515.8851674641148</v>
      </c>
      <c r="X24" s="31">
        <f t="shared" si="3"/>
        <v>1.8948564593301436</v>
      </c>
      <c r="AA24" s="32">
        <f t="shared" si="4"/>
        <v>42552</v>
      </c>
      <c r="AB24" s="32">
        <f t="shared" si="5"/>
        <v>42735</v>
      </c>
      <c r="AC24" s="50">
        <v>69</v>
      </c>
      <c r="AD24" s="1">
        <f t="shared" si="6"/>
        <v>0</v>
      </c>
      <c r="AE24" s="1">
        <f t="shared" si="7"/>
        <v>0</v>
      </c>
      <c r="AF24" s="1">
        <f t="shared" si="8"/>
        <v>173</v>
      </c>
      <c r="AG24" s="1">
        <f t="shared" si="9"/>
        <v>0</v>
      </c>
      <c r="AH24" s="1">
        <f t="shared" si="10"/>
        <v>0</v>
      </c>
      <c r="AI24" s="23">
        <f t="shared" si="11"/>
        <v>0.94021739130434778</v>
      </c>
      <c r="AJ24" s="23">
        <f t="shared" si="12"/>
        <v>1.7815769970875805</v>
      </c>
      <c r="AK24" s="23">
        <f t="shared" si="13"/>
        <v>122.92881279904306</v>
      </c>
      <c r="AL24" s="23">
        <f t="shared" si="14"/>
        <v>307.32203199760767</v>
      </c>
      <c r="AM24" s="23">
        <f t="shared" si="15"/>
        <v>153.66101599880383</v>
      </c>
      <c r="AN24" s="23">
        <f t="shared" si="16"/>
        <v>460.98304799641153</v>
      </c>
      <c r="AQ24" s="32">
        <f t="shared" si="17"/>
        <v>42736</v>
      </c>
      <c r="AR24" s="32">
        <f t="shared" si="18"/>
        <v>42916</v>
      </c>
      <c r="AS24" s="50">
        <v>68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0.94742822966507179</v>
      </c>
      <c r="BA24" s="23">
        <f t="shared" si="26"/>
        <v>32.21255980861244</v>
      </c>
      <c r="BB24" s="23">
        <f t="shared" si="27"/>
        <v>80.5313995215311</v>
      </c>
      <c r="BC24" s="23">
        <f t="shared" si="28"/>
        <v>40.26569976076555</v>
      </c>
      <c r="BD24" s="23">
        <f t="shared" si="29"/>
        <v>120.79709928229664</v>
      </c>
    </row>
    <row r="25" spans="1:56">
      <c r="A25" s="1" t="s">
        <v>20</v>
      </c>
      <c r="B25" s="1" t="s">
        <v>40</v>
      </c>
      <c r="C25" s="1" t="s">
        <v>22</v>
      </c>
      <c r="D25" s="1" t="s">
        <v>41</v>
      </c>
      <c r="E25" s="51" t="s">
        <v>107</v>
      </c>
      <c r="F25" s="51" t="s">
        <v>108</v>
      </c>
      <c r="G25" s="51" t="s">
        <v>109</v>
      </c>
      <c r="H25" s="1" t="s">
        <v>642</v>
      </c>
      <c r="I25" s="1" t="s">
        <v>147</v>
      </c>
      <c r="J25" s="51" t="s">
        <v>148</v>
      </c>
      <c r="K25" s="51" t="s">
        <v>112</v>
      </c>
      <c r="L25" s="51" t="s">
        <v>112</v>
      </c>
      <c r="M25" s="1">
        <v>1940833</v>
      </c>
      <c r="N25" s="50" t="s">
        <v>743</v>
      </c>
      <c r="O25" s="55">
        <f t="shared" si="31"/>
        <v>41680</v>
      </c>
      <c r="P25" s="55">
        <f>DATE(2014,12,20)</f>
        <v>41993</v>
      </c>
      <c r="Q25" s="1">
        <v>1670</v>
      </c>
      <c r="S25" s="51">
        <v>2.5</v>
      </c>
      <c r="U25" s="1">
        <f t="shared" si="0"/>
        <v>314</v>
      </c>
      <c r="V25" s="31">
        <f t="shared" si="1"/>
        <v>5.3184713375796182</v>
      </c>
      <c r="W25" s="31">
        <f t="shared" si="2"/>
        <v>1670</v>
      </c>
      <c r="X25" s="31">
        <f t="shared" si="3"/>
        <v>2.0874999999999999</v>
      </c>
      <c r="AA25" s="32">
        <f t="shared" si="4"/>
        <v>42552</v>
      </c>
      <c r="AB25" s="32">
        <f t="shared" si="5"/>
        <v>42735</v>
      </c>
      <c r="AC25" s="50">
        <v>11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1.04375</v>
      </c>
      <c r="AK25" s="23">
        <f t="shared" si="13"/>
        <v>5.7406249999999996</v>
      </c>
      <c r="AL25" s="23">
        <f t="shared" si="14"/>
        <v>14.3515625</v>
      </c>
      <c r="AM25" s="23">
        <f t="shared" si="15"/>
        <v>7.17578125</v>
      </c>
      <c r="AN25" s="23">
        <f t="shared" si="16"/>
        <v>21.52734375</v>
      </c>
      <c r="AQ25" s="32">
        <f t="shared" si="17"/>
        <v>42736</v>
      </c>
      <c r="AR25" s="32">
        <f t="shared" si="18"/>
        <v>42916</v>
      </c>
      <c r="AS25" s="50">
        <v>2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1.04375</v>
      </c>
      <c r="BA25" s="23">
        <f t="shared" si="26"/>
        <v>1.04375</v>
      </c>
      <c r="BB25" s="23">
        <f t="shared" si="27"/>
        <v>2.609375</v>
      </c>
      <c r="BC25" s="23">
        <f t="shared" si="28"/>
        <v>1.3046875</v>
      </c>
      <c r="BD25" s="23">
        <f t="shared" si="29"/>
        <v>3.9140625</v>
      </c>
    </row>
    <row r="26" spans="1:56">
      <c r="A26" s="1" t="s">
        <v>20</v>
      </c>
      <c r="B26" s="1" t="s">
        <v>40</v>
      </c>
      <c r="C26" s="1" t="s">
        <v>22</v>
      </c>
      <c r="D26" s="1" t="s">
        <v>41</v>
      </c>
      <c r="E26" s="51" t="s">
        <v>107</v>
      </c>
      <c r="F26" s="51" t="s">
        <v>108</v>
      </c>
      <c r="G26" s="51" t="s">
        <v>109</v>
      </c>
      <c r="H26" s="1" t="s">
        <v>735</v>
      </c>
      <c r="I26" s="1" t="s">
        <v>720</v>
      </c>
      <c r="J26" s="51" t="s">
        <v>148</v>
      </c>
      <c r="K26" s="51" t="s">
        <v>112</v>
      </c>
      <c r="L26" s="51" t="s">
        <v>112</v>
      </c>
      <c r="M26" s="1">
        <v>1940838</v>
      </c>
      <c r="N26" s="50" t="s">
        <v>744</v>
      </c>
      <c r="O26" s="55">
        <f t="shared" si="31"/>
        <v>41680</v>
      </c>
      <c r="P26" s="55">
        <f>DATE(2015,12,20)</f>
        <v>42358</v>
      </c>
      <c r="Q26" s="1">
        <v>1780</v>
      </c>
      <c r="S26" s="51">
        <v>2.5</v>
      </c>
      <c r="U26" s="1">
        <f t="shared" si="0"/>
        <v>679</v>
      </c>
      <c r="V26" s="31">
        <f t="shared" si="1"/>
        <v>2.6215022091310751</v>
      </c>
      <c r="W26" s="31">
        <f t="shared" si="2"/>
        <v>956.84830633284241</v>
      </c>
      <c r="X26" s="31">
        <f t="shared" si="3"/>
        <v>1.196060382916053</v>
      </c>
      <c r="AA26" s="32">
        <f t="shared" si="4"/>
        <v>42552</v>
      </c>
      <c r="AB26" s="32">
        <f t="shared" si="5"/>
        <v>42735</v>
      </c>
      <c r="AC26" s="50">
        <v>13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0.59803019145802649</v>
      </c>
      <c r="AK26" s="23">
        <f t="shared" si="13"/>
        <v>3.8871962444771722</v>
      </c>
      <c r="AL26" s="23">
        <f t="shared" si="14"/>
        <v>9.7179906111929313</v>
      </c>
      <c r="AM26" s="23">
        <f t="shared" si="15"/>
        <v>4.8589953055964656</v>
      </c>
      <c r="AN26" s="23">
        <f t="shared" si="16"/>
        <v>14.576985916789397</v>
      </c>
      <c r="AQ26" s="32">
        <f t="shared" si="17"/>
        <v>42736</v>
      </c>
      <c r="AR26" s="32">
        <f t="shared" si="18"/>
        <v>42916</v>
      </c>
      <c r="AS26" s="50">
        <v>5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0.59803019145802649</v>
      </c>
      <c r="BA26" s="23">
        <f t="shared" si="26"/>
        <v>1.4950754786450662</v>
      </c>
      <c r="BB26" s="23">
        <f t="shared" si="27"/>
        <v>3.7376886966126657</v>
      </c>
      <c r="BC26" s="23">
        <f t="shared" si="28"/>
        <v>1.8688443483063328</v>
      </c>
      <c r="BD26" s="23">
        <f t="shared" si="29"/>
        <v>5.606533044918999</v>
      </c>
    </row>
    <row r="27" spans="1:56">
      <c r="A27" s="1" t="s">
        <v>20</v>
      </c>
      <c r="B27" s="1" t="s">
        <v>40</v>
      </c>
      <c r="C27" s="1" t="s">
        <v>22</v>
      </c>
      <c r="D27" s="1" t="s">
        <v>41</v>
      </c>
      <c r="E27" s="51" t="s">
        <v>107</v>
      </c>
      <c r="F27" s="51" t="s">
        <v>108</v>
      </c>
      <c r="G27" s="51" t="s">
        <v>109</v>
      </c>
      <c r="H27" s="1" t="s">
        <v>725</v>
      </c>
      <c r="I27" s="1" t="s">
        <v>147</v>
      </c>
      <c r="J27" s="51" t="s">
        <v>148</v>
      </c>
      <c r="K27" s="51" t="s">
        <v>112</v>
      </c>
      <c r="L27" s="51" t="s">
        <v>112</v>
      </c>
      <c r="M27" s="1">
        <v>1940840</v>
      </c>
      <c r="N27" s="50" t="s">
        <v>745</v>
      </c>
      <c r="O27" s="55">
        <f t="shared" si="31"/>
        <v>41680</v>
      </c>
      <c r="P27" s="55">
        <f>DATE(2015,7,4)</f>
        <v>42189</v>
      </c>
      <c r="Q27" s="1">
        <v>1669</v>
      </c>
      <c r="S27" s="51">
        <v>2.5</v>
      </c>
      <c r="U27" s="1">
        <f t="shared" si="0"/>
        <v>510</v>
      </c>
      <c r="V27" s="31">
        <f t="shared" si="1"/>
        <v>3.2725490196078431</v>
      </c>
      <c r="W27" s="31">
        <f t="shared" si="2"/>
        <v>1194.4803921568628</v>
      </c>
      <c r="X27" s="31">
        <f t="shared" si="3"/>
        <v>1.4931004901960785</v>
      </c>
      <c r="AA27" s="32">
        <f t="shared" si="4"/>
        <v>42552</v>
      </c>
      <c r="AB27" s="32">
        <f t="shared" si="5"/>
        <v>42735</v>
      </c>
      <c r="AC27" s="50">
        <v>23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0.74655024509803924</v>
      </c>
      <c r="AK27" s="23">
        <f t="shared" si="13"/>
        <v>8.5853278186274515</v>
      </c>
      <c r="AL27" s="23">
        <f t="shared" si="14"/>
        <v>21.463319546568627</v>
      </c>
      <c r="AM27" s="23">
        <f t="shared" si="15"/>
        <v>10.731659773284314</v>
      </c>
      <c r="AN27" s="23">
        <f t="shared" si="16"/>
        <v>32.194979319852941</v>
      </c>
      <c r="AQ27" s="32">
        <f t="shared" si="17"/>
        <v>42736</v>
      </c>
      <c r="AR27" s="32">
        <f t="shared" si="18"/>
        <v>42916</v>
      </c>
      <c r="AS27" s="50">
        <v>14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0.74655024509803924</v>
      </c>
      <c r="BA27" s="23">
        <f t="shared" si="26"/>
        <v>5.2258517156862752</v>
      </c>
      <c r="BB27" s="23">
        <f t="shared" si="27"/>
        <v>13.064629289215688</v>
      </c>
      <c r="BC27" s="23">
        <f t="shared" si="28"/>
        <v>6.5323146446078439</v>
      </c>
      <c r="BD27" s="23">
        <f t="shared" si="29"/>
        <v>19.596943933823532</v>
      </c>
    </row>
    <row r="28" spans="1:56">
      <c r="A28" s="1" t="s">
        <v>20</v>
      </c>
      <c r="B28" s="1" t="s">
        <v>40</v>
      </c>
      <c r="C28" s="1" t="s">
        <v>22</v>
      </c>
      <c r="D28" s="1" t="s">
        <v>41</v>
      </c>
      <c r="E28" s="51" t="s">
        <v>107</v>
      </c>
      <c r="F28" s="51" t="s">
        <v>108</v>
      </c>
      <c r="G28" s="51" t="s">
        <v>109</v>
      </c>
      <c r="H28" s="1" t="s">
        <v>136</v>
      </c>
      <c r="I28" s="1" t="s">
        <v>131</v>
      </c>
      <c r="J28" s="51" t="s">
        <v>112</v>
      </c>
      <c r="K28" s="51" t="s">
        <v>112</v>
      </c>
      <c r="L28" s="51" t="s">
        <v>112</v>
      </c>
      <c r="M28" s="1">
        <v>1940842</v>
      </c>
      <c r="N28" s="50" t="s">
        <v>746</v>
      </c>
      <c r="O28" s="55">
        <f t="shared" si="31"/>
        <v>41680</v>
      </c>
      <c r="P28" s="55">
        <f>DATE(2014,12,20)</f>
        <v>41993</v>
      </c>
      <c r="Q28" s="1">
        <v>1240</v>
      </c>
      <c r="S28" s="51">
        <v>1</v>
      </c>
      <c r="U28" s="1">
        <f t="shared" si="0"/>
        <v>314</v>
      </c>
      <c r="V28" s="31">
        <f t="shared" si="1"/>
        <v>3.9490445859872612</v>
      </c>
      <c r="W28" s="31">
        <f t="shared" si="2"/>
        <v>1240</v>
      </c>
      <c r="X28" s="31">
        <f t="shared" si="3"/>
        <v>1.55</v>
      </c>
      <c r="AA28" s="32">
        <f t="shared" si="4"/>
        <v>42552</v>
      </c>
      <c r="AB28" s="32">
        <f t="shared" si="5"/>
        <v>42735</v>
      </c>
      <c r="AC28" s="50">
        <v>3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0.77500000000000002</v>
      </c>
      <c r="AK28" s="23">
        <f t="shared" si="13"/>
        <v>1.1625000000000001</v>
      </c>
      <c r="AL28" s="23">
        <f t="shared" si="14"/>
        <v>1.1625000000000001</v>
      </c>
      <c r="AM28" s="23">
        <f t="shared" si="15"/>
        <v>0</v>
      </c>
      <c r="AN28" s="23">
        <f t="shared" si="16"/>
        <v>1.1625000000000001</v>
      </c>
      <c r="AQ28" s="32">
        <f t="shared" si="17"/>
        <v>42736</v>
      </c>
      <c r="AR28" s="32">
        <f t="shared" si="18"/>
        <v>42916</v>
      </c>
      <c r="AS28" s="50">
        <v>1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0.77500000000000002</v>
      </c>
      <c r="BA28" s="23">
        <f t="shared" si="26"/>
        <v>0.38750000000000001</v>
      </c>
      <c r="BB28" s="23">
        <f t="shared" si="27"/>
        <v>0.38750000000000001</v>
      </c>
      <c r="BC28" s="23">
        <f t="shared" si="28"/>
        <v>0</v>
      </c>
      <c r="BD28" s="23">
        <f t="shared" si="29"/>
        <v>0.38750000000000001</v>
      </c>
    </row>
    <row r="29" spans="1:56">
      <c r="A29" s="1" t="s">
        <v>20</v>
      </c>
      <c r="B29" s="1" t="s">
        <v>40</v>
      </c>
      <c r="C29" s="1" t="s">
        <v>22</v>
      </c>
      <c r="D29" s="1" t="s">
        <v>41</v>
      </c>
      <c r="E29" s="51" t="s">
        <v>107</v>
      </c>
      <c r="F29" s="51" t="s">
        <v>108</v>
      </c>
      <c r="G29" s="51" t="s">
        <v>109</v>
      </c>
      <c r="H29" s="1" t="s">
        <v>216</v>
      </c>
      <c r="I29" s="1" t="s">
        <v>111</v>
      </c>
      <c r="J29" s="51" t="s">
        <v>112</v>
      </c>
      <c r="K29" s="51" t="s">
        <v>112</v>
      </c>
      <c r="L29" s="51" t="s">
        <v>112</v>
      </c>
      <c r="M29" s="1">
        <v>1940846</v>
      </c>
      <c r="N29" s="50" t="s">
        <v>747</v>
      </c>
      <c r="O29" s="55">
        <f t="shared" si="31"/>
        <v>41680</v>
      </c>
      <c r="P29" s="55">
        <f>DATE(2014,12,20)</f>
        <v>41993</v>
      </c>
      <c r="Q29" s="1">
        <v>1200</v>
      </c>
      <c r="S29" s="51">
        <v>2</v>
      </c>
      <c r="U29" s="1">
        <f t="shared" si="0"/>
        <v>314</v>
      </c>
      <c r="V29" s="31">
        <f t="shared" si="1"/>
        <v>3.8216560509554141</v>
      </c>
      <c r="W29" s="31">
        <f t="shared" si="2"/>
        <v>1200</v>
      </c>
      <c r="X29" s="31">
        <f t="shared" si="3"/>
        <v>1.5</v>
      </c>
      <c r="AA29" s="32">
        <f t="shared" si="4"/>
        <v>42552</v>
      </c>
      <c r="AB29" s="32">
        <f t="shared" si="5"/>
        <v>42735</v>
      </c>
      <c r="AC29" s="50">
        <v>22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0.75</v>
      </c>
      <c r="AK29" s="23">
        <f t="shared" si="13"/>
        <v>8.25</v>
      </c>
      <c r="AL29" s="23">
        <f t="shared" si="14"/>
        <v>16.5</v>
      </c>
      <c r="AM29" s="23">
        <f t="shared" si="15"/>
        <v>0</v>
      </c>
      <c r="AN29" s="23">
        <f t="shared" si="16"/>
        <v>16.5</v>
      </c>
      <c r="AQ29" s="32">
        <f t="shared" si="17"/>
        <v>42736</v>
      </c>
      <c r="AR29" s="32">
        <f t="shared" si="18"/>
        <v>42916</v>
      </c>
      <c r="AS29" s="50">
        <v>9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0.75</v>
      </c>
      <c r="BA29" s="23">
        <f t="shared" si="26"/>
        <v>3.375</v>
      </c>
      <c r="BB29" s="23">
        <f t="shared" si="27"/>
        <v>6.75</v>
      </c>
      <c r="BC29" s="23">
        <f t="shared" si="28"/>
        <v>0</v>
      </c>
      <c r="BD29" s="23">
        <f t="shared" si="29"/>
        <v>6.75</v>
      </c>
    </row>
    <row r="30" spans="1:56">
      <c r="A30" s="1" t="s">
        <v>20</v>
      </c>
      <c r="B30" s="1" t="s">
        <v>40</v>
      </c>
      <c r="C30" s="1" t="s">
        <v>22</v>
      </c>
      <c r="D30" s="1" t="s">
        <v>41</v>
      </c>
      <c r="E30" s="51" t="s">
        <v>107</v>
      </c>
      <c r="F30" s="51" t="s">
        <v>108</v>
      </c>
      <c r="G30" s="51" t="s">
        <v>109</v>
      </c>
      <c r="H30" s="1" t="s">
        <v>642</v>
      </c>
      <c r="I30" s="1" t="s">
        <v>147</v>
      </c>
      <c r="J30" s="51" t="s">
        <v>148</v>
      </c>
      <c r="K30" s="51" t="s">
        <v>148</v>
      </c>
      <c r="L30" s="51" t="s">
        <v>112</v>
      </c>
      <c r="M30" s="1">
        <v>1946533</v>
      </c>
      <c r="N30" s="51" t="s">
        <v>748</v>
      </c>
      <c r="O30" s="55">
        <f>DATE(2014,3,10)</f>
        <v>41708</v>
      </c>
      <c r="P30" s="55">
        <f>DATE(2017,1,20)</f>
        <v>42755</v>
      </c>
      <c r="Q30" s="1">
        <v>4709</v>
      </c>
      <c r="S30" s="51">
        <v>2.5</v>
      </c>
      <c r="U30" s="1">
        <f t="shared" si="0"/>
        <v>1048</v>
      </c>
      <c r="V30" s="31">
        <f t="shared" si="1"/>
        <v>4.4933206106870225</v>
      </c>
      <c r="W30" s="31">
        <f t="shared" si="2"/>
        <v>1640.0620229007632</v>
      </c>
      <c r="X30" s="31">
        <f t="shared" si="3"/>
        <v>2.050077528625954</v>
      </c>
      <c r="AA30" s="32">
        <f t="shared" si="4"/>
        <v>42552</v>
      </c>
      <c r="AB30" s="32">
        <f t="shared" si="5"/>
        <v>42735</v>
      </c>
      <c r="AC30" s="51">
        <v>35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2.050077528625954</v>
      </c>
      <c r="AK30" s="23">
        <f t="shared" si="13"/>
        <v>71.752713501908389</v>
      </c>
      <c r="AL30" s="23">
        <f t="shared" si="14"/>
        <v>179.38178375477096</v>
      </c>
      <c r="AM30" s="23">
        <f t="shared" si="15"/>
        <v>89.690891877385482</v>
      </c>
      <c r="AN30" s="23">
        <f t="shared" si="16"/>
        <v>269.07267563215646</v>
      </c>
      <c r="AQ30" s="32">
        <f t="shared" si="17"/>
        <v>42736</v>
      </c>
      <c r="AR30" s="32">
        <f t="shared" si="18"/>
        <v>42916</v>
      </c>
      <c r="AS30" s="51">
        <v>35</v>
      </c>
      <c r="AT30" s="1">
        <f t="shared" si="19"/>
        <v>0</v>
      </c>
      <c r="AU30" s="1">
        <f t="shared" si="20"/>
        <v>0</v>
      </c>
      <c r="AV30" s="1">
        <f t="shared" si="21"/>
        <v>20</v>
      </c>
      <c r="AW30" s="1">
        <f t="shared" si="22"/>
        <v>0</v>
      </c>
      <c r="AX30" s="1">
        <f t="shared" si="23"/>
        <v>0</v>
      </c>
      <c r="AY30" s="23">
        <f t="shared" si="24"/>
        <v>0.11049723756906077</v>
      </c>
      <c r="AZ30" s="23">
        <f t="shared" si="25"/>
        <v>0.22652790371557502</v>
      </c>
      <c r="BA30" s="23">
        <f t="shared" si="26"/>
        <v>7.9284766300451253</v>
      </c>
      <c r="BB30" s="23">
        <f t="shared" si="27"/>
        <v>19.821191575112813</v>
      </c>
      <c r="BC30" s="23">
        <f t="shared" si="28"/>
        <v>9.9105957875564066</v>
      </c>
      <c r="BD30" s="23">
        <f t="shared" si="29"/>
        <v>29.73178736266922</v>
      </c>
    </row>
    <row r="31" spans="1:56">
      <c r="A31" s="1" t="s">
        <v>20</v>
      </c>
      <c r="B31" s="1" t="s">
        <v>40</v>
      </c>
      <c r="C31" s="1" t="s">
        <v>22</v>
      </c>
      <c r="D31" s="1" t="s">
        <v>41</v>
      </c>
      <c r="E31" s="51" t="s">
        <v>107</v>
      </c>
      <c r="F31" s="51" t="s">
        <v>108</v>
      </c>
      <c r="G31" s="51" t="s">
        <v>109</v>
      </c>
      <c r="H31" s="1" t="s">
        <v>642</v>
      </c>
      <c r="I31" s="1" t="s">
        <v>147</v>
      </c>
      <c r="J31" s="51" t="s">
        <v>148</v>
      </c>
      <c r="K31" s="51" t="s">
        <v>148</v>
      </c>
      <c r="L31" s="51" t="s">
        <v>112</v>
      </c>
      <c r="M31" s="1">
        <v>1946536</v>
      </c>
      <c r="N31" s="51" t="s">
        <v>749</v>
      </c>
      <c r="O31" s="55">
        <f>DATE(2014,4,14)</f>
        <v>41743</v>
      </c>
      <c r="P31" s="55">
        <f>DATE(2017,1,20)</f>
        <v>42755</v>
      </c>
      <c r="Q31" s="1">
        <v>4709</v>
      </c>
      <c r="S31" s="51">
        <v>2.5</v>
      </c>
      <c r="U31" s="1">
        <f t="shared" si="0"/>
        <v>1013</v>
      </c>
      <c r="V31" s="31">
        <f t="shared" si="1"/>
        <v>4.6485686080947684</v>
      </c>
      <c r="W31" s="31">
        <f t="shared" si="2"/>
        <v>1696.7275419545904</v>
      </c>
      <c r="X31" s="31">
        <f t="shared" si="3"/>
        <v>2.1209094274432378</v>
      </c>
      <c r="AA31" s="32">
        <f t="shared" si="4"/>
        <v>42552</v>
      </c>
      <c r="AB31" s="32">
        <f t="shared" si="5"/>
        <v>42735</v>
      </c>
      <c r="AC31" s="51">
        <v>33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2.1209094274432378</v>
      </c>
      <c r="AK31" s="23">
        <f t="shared" si="13"/>
        <v>69.990011105626849</v>
      </c>
      <c r="AL31" s="23">
        <f t="shared" si="14"/>
        <v>174.97502776406714</v>
      </c>
      <c r="AM31" s="23">
        <f t="shared" si="15"/>
        <v>87.487513882033568</v>
      </c>
      <c r="AN31" s="23">
        <f t="shared" si="16"/>
        <v>262.4625416461007</v>
      </c>
      <c r="AQ31" s="32">
        <f t="shared" si="17"/>
        <v>42736</v>
      </c>
      <c r="AR31" s="32">
        <f t="shared" si="18"/>
        <v>42916</v>
      </c>
      <c r="AS31" s="51">
        <v>30</v>
      </c>
      <c r="AT31" s="1">
        <f t="shared" si="19"/>
        <v>0</v>
      </c>
      <c r="AU31" s="1">
        <f t="shared" si="20"/>
        <v>0</v>
      </c>
      <c r="AV31" s="1">
        <f t="shared" si="21"/>
        <v>20</v>
      </c>
      <c r="AW31" s="1">
        <f t="shared" si="22"/>
        <v>0</v>
      </c>
      <c r="AX31" s="1">
        <f t="shared" si="23"/>
        <v>0</v>
      </c>
      <c r="AY31" s="23">
        <f t="shared" si="24"/>
        <v>0.11049723756906077</v>
      </c>
      <c r="AZ31" s="23">
        <f t="shared" si="25"/>
        <v>0.23435463286665612</v>
      </c>
      <c r="BA31" s="23">
        <f t="shared" si="26"/>
        <v>7.0306389859996834</v>
      </c>
      <c r="BB31" s="23">
        <f t="shared" si="27"/>
        <v>17.57659746499921</v>
      </c>
      <c r="BC31" s="23">
        <f t="shared" si="28"/>
        <v>8.7882987324996051</v>
      </c>
      <c r="BD31" s="23">
        <f t="shared" si="29"/>
        <v>26.364896197498815</v>
      </c>
    </row>
    <row r="32" spans="1:56">
      <c r="A32" s="1" t="s">
        <v>20</v>
      </c>
      <c r="B32" s="1" t="s">
        <v>40</v>
      </c>
      <c r="C32" s="1" t="s">
        <v>22</v>
      </c>
      <c r="D32" s="1" t="s">
        <v>41</v>
      </c>
      <c r="E32" s="51" t="s">
        <v>107</v>
      </c>
      <c r="F32" s="51" t="s">
        <v>556</v>
      </c>
      <c r="G32" s="51" t="s">
        <v>109</v>
      </c>
      <c r="H32" s="1" t="s">
        <v>729</v>
      </c>
      <c r="I32" s="1" t="s">
        <v>234</v>
      </c>
      <c r="J32" s="51" t="s">
        <v>112</v>
      </c>
      <c r="K32" s="51" t="s">
        <v>112</v>
      </c>
      <c r="L32" s="51" t="s">
        <v>112</v>
      </c>
      <c r="M32" s="1">
        <v>1948493</v>
      </c>
      <c r="N32" s="50" t="s">
        <v>750</v>
      </c>
      <c r="O32" s="55">
        <f>DATE(2014,3,17)</f>
        <v>41715</v>
      </c>
      <c r="P32" s="55">
        <f>DATE(2016,3,17)</f>
        <v>42446</v>
      </c>
      <c r="Q32" s="1">
        <v>640</v>
      </c>
      <c r="S32" s="51">
        <v>3.75</v>
      </c>
      <c r="U32" s="1">
        <f t="shared" si="0"/>
        <v>732</v>
      </c>
      <c r="V32" s="31">
        <f t="shared" si="1"/>
        <v>0.87431693989071035</v>
      </c>
      <c r="W32" s="31">
        <f t="shared" si="2"/>
        <v>319.12568306010928</v>
      </c>
      <c r="X32" s="31">
        <f t="shared" si="3"/>
        <v>0.39890710382513661</v>
      </c>
      <c r="AA32" s="32">
        <f t="shared" si="4"/>
        <v>42552</v>
      </c>
      <c r="AB32" s="32">
        <f t="shared" si="5"/>
        <v>42735</v>
      </c>
      <c r="AC32" s="50">
        <v>20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0.19945355191256831</v>
      </c>
      <c r="AK32" s="23">
        <f t="shared" si="13"/>
        <v>1.9945355191256831</v>
      </c>
      <c r="AL32" s="23">
        <f t="shared" si="14"/>
        <v>7.4795081967213113</v>
      </c>
      <c r="AM32" s="23">
        <f t="shared" si="15"/>
        <v>0</v>
      </c>
      <c r="AN32" s="23">
        <f t="shared" si="16"/>
        <v>7.4795081967213113</v>
      </c>
      <c r="AQ32" s="32">
        <f t="shared" si="17"/>
        <v>42736</v>
      </c>
      <c r="AR32" s="32">
        <f t="shared" si="18"/>
        <v>42916</v>
      </c>
      <c r="AS32" s="50">
        <v>20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0.19945355191256831</v>
      </c>
      <c r="BA32" s="23">
        <f t="shared" si="26"/>
        <v>1.9945355191256831</v>
      </c>
      <c r="BB32" s="23">
        <f t="shared" si="27"/>
        <v>7.4795081967213113</v>
      </c>
      <c r="BC32" s="23">
        <f t="shared" si="28"/>
        <v>0</v>
      </c>
      <c r="BD32" s="23">
        <f t="shared" si="29"/>
        <v>7.4795081967213113</v>
      </c>
    </row>
    <row r="33" spans="1:56">
      <c r="A33" s="1" t="s">
        <v>20</v>
      </c>
      <c r="B33" s="1" t="s">
        <v>40</v>
      </c>
      <c r="C33" s="1" t="s">
        <v>22</v>
      </c>
      <c r="D33" s="1" t="s">
        <v>41</v>
      </c>
      <c r="E33" s="51" t="s">
        <v>107</v>
      </c>
      <c r="F33" s="51" t="s">
        <v>265</v>
      </c>
      <c r="G33" s="51" t="s">
        <v>109</v>
      </c>
      <c r="H33" s="1" t="s">
        <v>716</v>
      </c>
      <c r="I33" s="1" t="s">
        <v>147</v>
      </c>
      <c r="J33" s="51" t="s">
        <v>148</v>
      </c>
      <c r="K33" s="51" t="s">
        <v>112</v>
      </c>
      <c r="L33" s="51" t="s">
        <v>112</v>
      </c>
      <c r="M33" s="1">
        <v>1949097</v>
      </c>
      <c r="N33" s="52" t="s">
        <v>751</v>
      </c>
      <c r="O33" s="55">
        <f>DATE(2014,3,10)</f>
        <v>41708</v>
      </c>
      <c r="P33" s="55">
        <f>DATE(2018,7,16)</f>
        <v>43297</v>
      </c>
      <c r="Q33" s="1">
        <v>4730</v>
      </c>
      <c r="S33" s="51">
        <v>2.5</v>
      </c>
      <c r="U33" s="1">
        <f t="shared" si="0"/>
        <v>1590</v>
      </c>
      <c r="V33" s="31">
        <f t="shared" si="1"/>
        <v>2.9748427672955975</v>
      </c>
      <c r="W33" s="31">
        <f t="shared" si="2"/>
        <v>1085.817610062893</v>
      </c>
      <c r="X33" s="31">
        <f t="shared" si="3"/>
        <v>1.3572720125786162</v>
      </c>
      <c r="AA33" s="32">
        <f t="shared" si="4"/>
        <v>42552</v>
      </c>
      <c r="AB33" s="32">
        <f t="shared" si="5"/>
        <v>42735</v>
      </c>
      <c r="AC33" s="52">
        <v>39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1.3572720125786162</v>
      </c>
      <c r="AK33" s="23">
        <f t="shared" si="13"/>
        <v>52.93360849056603</v>
      </c>
      <c r="AL33" s="23">
        <f t="shared" si="14"/>
        <v>132.33402122641508</v>
      </c>
      <c r="AM33" s="23">
        <f t="shared" si="15"/>
        <v>66.167010613207538</v>
      </c>
      <c r="AN33" s="23">
        <f t="shared" si="16"/>
        <v>198.50103183962261</v>
      </c>
      <c r="AQ33" s="32">
        <f t="shared" si="17"/>
        <v>42736</v>
      </c>
      <c r="AR33" s="32">
        <f t="shared" si="18"/>
        <v>42916</v>
      </c>
      <c r="AS33" s="52">
        <v>39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1.3572720125786162</v>
      </c>
      <c r="BA33" s="23">
        <f t="shared" si="26"/>
        <v>52.93360849056603</v>
      </c>
      <c r="BB33" s="23">
        <f t="shared" si="27"/>
        <v>132.33402122641508</v>
      </c>
      <c r="BC33" s="23">
        <f t="shared" si="28"/>
        <v>66.167010613207538</v>
      </c>
      <c r="BD33" s="23">
        <f t="shared" si="29"/>
        <v>198.50103183962261</v>
      </c>
    </row>
    <row r="34" spans="1:56">
      <c r="A34" s="1" t="s">
        <v>20</v>
      </c>
      <c r="B34" s="1" t="s">
        <v>40</v>
      </c>
      <c r="C34" s="1" t="s">
        <v>22</v>
      </c>
      <c r="D34" s="1" t="s">
        <v>41</v>
      </c>
      <c r="E34" s="51" t="s">
        <v>107</v>
      </c>
      <c r="F34" s="51" t="s">
        <v>294</v>
      </c>
      <c r="G34" s="51" t="s">
        <v>109</v>
      </c>
      <c r="H34" s="1" t="s">
        <v>719</v>
      </c>
      <c r="I34" s="1" t="s">
        <v>720</v>
      </c>
      <c r="J34" s="51" t="s">
        <v>148</v>
      </c>
      <c r="K34" s="51" t="s">
        <v>112</v>
      </c>
      <c r="L34" s="51" t="s">
        <v>112</v>
      </c>
      <c r="M34" s="1">
        <v>1949100</v>
      </c>
      <c r="N34" s="51" t="s">
        <v>752</v>
      </c>
      <c r="O34" s="55">
        <f>DATE(2014,3,10)</f>
        <v>41708</v>
      </c>
      <c r="P34" s="55">
        <f>DATE(2017,3,10)</f>
        <v>42804</v>
      </c>
      <c r="Q34" s="1">
        <v>3395</v>
      </c>
      <c r="S34" s="51">
        <v>2.5</v>
      </c>
      <c r="U34" s="1">
        <f t="shared" si="0"/>
        <v>1097</v>
      </c>
      <c r="V34" s="31">
        <f t="shared" si="1"/>
        <v>3.0948040109389243</v>
      </c>
      <c r="W34" s="31">
        <f t="shared" si="2"/>
        <v>1129.6034639927075</v>
      </c>
      <c r="X34" s="31">
        <f t="shared" si="3"/>
        <v>1.4120043299908844</v>
      </c>
      <c r="AA34" s="32">
        <f t="shared" si="4"/>
        <v>42552</v>
      </c>
      <c r="AB34" s="32">
        <f t="shared" si="5"/>
        <v>42735</v>
      </c>
      <c r="AC34" s="51">
        <v>33</v>
      </c>
      <c r="AD34" s="1">
        <f t="shared" si="6"/>
        <v>184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1.4120043299908844</v>
      </c>
      <c r="AK34" s="23">
        <f t="shared" si="13"/>
        <v>46.596142889699188</v>
      </c>
      <c r="AL34" s="23">
        <f t="shared" si="14"/>
        <v>116.49035722424797</v>
      </c>
      <c r="AM34" s="23">
        <f t="shared" si="15"/>
        <v>58.245178612123986</v>
      </c>
      <c r="AN34" s="23">
        <f t="shared" si="16"/>
        <v>174.73553583637195</v>
      </c>
      <c r="AQ34" s="32">
        <f t="shared" si="17"/>
        <v>42736</v>
      </c>
      <c r="AR34" s="32">
        <f t="shared" si="18"/>
        <v>42916</v>
      </c>
      <c r="AS34" s="51">
        <v>33</v>
      </c>
      <c r="AT34" s="1">
        <f t="shared" si="19"/>
        <v>0</v>
      </c>
      <c r="AU34" s="1">
        <f t="shared" si="20"/>
        <v>0</v>
      </c>
      <c r="AV34" s="1">
        <f t="shared" si="21"/>
        <v>69</v>
      </c>
      <c r="AW34" s="1">
        <f t="shared" si="22"/>
        <v>0</v>
      </c>
      <c r="AX34" s="1">
        <f t="shared" si="23"/>
        <v>0</v>
      </c>
      <c r="AY34" s="23">
        <f t="shared" si="24"/>
        <v>0.38121546961325969</v>
      </c>
      <c r="AZ34" s="23">
        <f t="shared" si="25"/>
        <v>0.53827789375343116</v>
      </c>
      <c r="BA34" s="23">
        <f t="shared" si="26"/>
        <v>17.763170493863228</v>
      </c>
      <c r="BB34" s="23">
        <f t="shared" si="27"/>
        <v>44.407926234658071</v>
      </c>
      <c r="BC34" s="23">
        <f t="shared" si="28"/>
        <v>22.203963117329035</v>
      </c>
      <c r="BD34" s="23">
        <f t="shared" si="29"/>
        <v>66.611889351987102</v>
      </c>
    </row>
    <row r="35" spans="1:56">
      <c r="A35" s="1" t="s">
        <v>20</v>
      </c>
      <c r="B35" s="1" t="s">
        <v>40</v>
      </c>
      <c r="C35" s="1" t="s">
        <v>22</v>
      </c>
      <c r="D35" s="1" t="s">
        <v>41</v>
      </c>
      <c r="E35" s="51" t="s">
        <v>107</v>
      </c>
      <c r="F35" s="51" t="s">
        <v>114</v>
      </c>
      <c r="G35" s="51" t="s">
        <v>109</v>
      </c>
      <c r="H35" s="1" t="s">
        <v>120</v>
      </c>
      <c r="I35" s="1" t="s">
        <v>111</v>
      </c>
      <c r="J35" s="51" t="s">
        <v>112</v>
      </c>
      <c r="K35" s="51" t="s">
        <v>112</v>
      </c>
      <c r="L35" s="51" t="s">
        <v>112</v>
      </c>
      <c r="M35" s="1">
        <v>1949105</v>
      </c>
      <c r="N35" s="51" t="s">
        <v>753</v>
      </c>
      <c r="O35" s="55">
        <f>DATE(2014,3,10)</f>
        <v>41708</v>
      </c>
      <c r="P35" s="55">
        <f>DATE(2017,3,10)</f>
        <v>42804</v>
      </c>
      <c r="Q35" s="1">
        <v>3300</v>
      </c>
      <c r="S35" s="51">
        <v>2.5</v>
      </c>
      <c r="U35" s="1">
        <f t="shared" si="0"/>
        <v>1097</v>
      </c>
      <c r="V35" s="31">
        <f t="shared" si="1"/>
        <v>3.00820419325433</v>
      </c>
      <c r="W35" s="31">
        <f t="shared" si="2"/>
        <v>1097.9945305378305</v>
      </c>
      <c r="X35" s="31">
        <f t="shared" si="3"/>
        <v>1.3724931631722881</v>
      </c>
      <c r="AA35" s="32">
        <f t="shared" si="4"/>
        <v>42552</v>
      </c>
      <c r="AB35" s="32">
        <f t="shared" si="5"/>
        <v>42735</v>
      </c>
      <c r="AC35" s="51">
        <v>38</v>
      </c>
      <c r="AD35" s="1">
        <f t="shared" si="6"/>
        <v>184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1.3724931631722881</v>
      </c>
      <c r="AK35" s="23">
        <f t="shared" si="13"/>
        <v>52.154740200546946</v>
      </c>
      <c r="AL35" s="23">
        <f t="shared" si="14"/>
        <v>130.38685050136738</v>
      </c>
      <c r="AM35" s="23">
        <f t="shared" si="15"/>
        <v>0</v>
      </c>
      <c r="AN35" s="23">
        <f t="shared" si="16"/>
        <v>130.38685050136738</v>
      </c>
      <c r="AQ35" s="32">
        <f t="shared" si="17"/>
        <v>42736</v>
      </c>
      <c r="AR35" s="32">
        <f t="shared" si="18"/>
        <v>42916</v>
      </c>
      <c r="AS35" s="51">
        <v>38</v>
      </c>
      <c r="AT35" s="1">
        <f t="shared" si="19"/>
        <v>0</v>
      </c>
      <c r="AU35" s="1">
        <f t="shared" si="20"/>
        <v>0</v>
      </c>
      <c r="AV35" s="1">
        <f t="shared" si="21"/>
        <v>69</v>
      </c>
      <c r="AW35" s="1">
        <f t="shared" si="22"/>
        <v>0</v>
      </c>
      <c r="AX35" s="1">
        <f t="shared" si="23"/>
        <v>0</v>
      </c>
      <c r="AY35" s="23">
        <f t="shared" si="24"/>
        <v>0.38121546961325969</v>
      </c>
      <c r="AZ35" s="23">
        <f t="shared" si="25"/>
        <v>0.52321562573971203</v>
      </c>
      <c r="BA35" s="23">
        <f t="shared" si="26"/>
        <v>19.882193778109055</v>
      </c>
      <c r="BB35" s="23">
        <f t="shared" si="27"/>
        <v>49.705484445272639</v>
      </c>
      <c r="BC35" s="23">
        <f t="shared" si="28"/>
        <v>0</v>
      </c>
      <c r="BD35" s="23">
        <f t="shared" si="29"/>
        <v>49.705484445272639</v>
      </c>
    </row>
    <row r="36" spans="1:56">
      <c r="A36" s="1" t="s">
        <v>20</v>
      </c>
      <c r="B36" s="1" t="s">
        <v>40</v>
      </c>
      <c r="C36" s="1" t="s">
        <v>22</v>
      </c>
      <c r="D36" s="1" t="s">
        <v>41</v>
      </c>
      <c r="E36" s="51" t="s">
        <v>154</v>
      </c>
      <c r="F36" s="51" t="s">
        <v>108</v>
      </c>
      <c r="G36" s="51" t="s">
        <v>109</v>
      </c>
      <c r="H36" s="1" t="s">
        <v>110</v>
      </c>
      <c r="I36" s="1" t="s">
        <v>111</v>
      </c>
      <c r="J36" s="51" t="s">
        <v>112</v>
      </c>
      <c r="K36" s="51" t="s">
        <v>112</v>
      </c>
      <c r="L36" s="51" t="s">
        <v>148</v>
      </c>
      <c r="M36" s="1">
        <v>1972576</v>
      </c>
      <c r="N36" s="50" t="s">
        <v>469</v>
      </c>
      <c r="O36" s="55">
        <f>DATE(2014,10,20)</f>
        <v>41932</v>
      </c>
      <c r="P36" s="55">
        <f>DATE(2016,11,30)</f>
        <v>42704</v>
      </c>
      <c r="Q36" s="1">
        <v>1130</v>
      </c>
      <c r="S36" s="51">
        <v>2</v>
      </c>
      <c r="U36" s="1">
        <f t="shared" ref="U36:U60" si="32">P36-O36+1</f>
        <v>773</v>
      </c>
      <c r="V36" s="31">
        <f t="shared" ref="V36:V60" si="33">Q36/U36</f>
        <v>1.4618369987063389</v>
      </c>
      <c r="W36" s="31">
        <f t="shared" ref="W36:W60" si="34">IF(U36&gt;365,V36*365,Q36)</f>
        <v>533.57050452781368</v>
      </c>
      <c r="X36" s="31">
        <f t="shared" ref="X36:X60" si="35">IF(U36&gt;365,W36/800,Q36/800)</f>
        <v>0.66696313065976709</v>
      </c>
      <c r="AA36" s="32">
        <f t="shared" ref="AA36:AA60" si="36">DATE(2016,7,1)</f>
        <v>42552</v>
      </c>
      <c r="AB36" s="32">
        <f t="shared" ref="AB36:AB60" si="37">DATE(2016,12,31)</f>
        <v>42735</v>
      </c>
      <c r="AC36" s="50">
        <v>12</v>
      </c>
      <c r="AD36" s="1">
        <f t="shared" ref="AD36:AD60" si="38">IF(AND(O36&lt;AA36,P36&gt;AB36),AB36-AA36+1,0)</f>
        <v>0</v>
      </c>
      <c r="AE36" s="1">
        <f t="shared" ref="AE36:AE60" si="39">IF(AND(O36&gt;=AA36,P36&gt;AB36,O36&lt;AB36),AB36-O36+1,0)</f>
        <v>0</v>
      </c>
      <c r="AF36" s="1">
        <f t="shared" ref="AF36:AF60" si="40">IF(AND(O36&lt;AA36,P36&lt;=AB36,P36&gt;=AA36),P36-AA36+1,0)</f>
        <v>153</v>
      </c>
      <c r="AG36" s="1">
        <f t="shared" ref="AG36:AG60" si="41">IF(AND(O36&gt;=AA36,P36&lt;=AB36),P36-O36+1,0)</f>
        <v>0</v>
      </c>
      <c r="AH36" s="1">
        <f t="shared" ref="AH36:AH60" si="42">IF(AND(O36&lt;AA36,P36&lt;AA36),(AB36-AA36+1)/2,0)</f>
        <v>0</v>
      </c>
      <c r="AI36" s="23">
        <f t="shared" ref="AI36:AI60" si="43">SUM(AD36:AH36)/(AB36-AA36+1)</f>
        <v>0.83152173913043481</v>
      </c>
      <c r="AJ36" s="23">
        <f t="shared" ref="AJ36:AJ60" si="44">X36*AI36</f>
        <v>0.55459434234208893</v>
      </c>
      <c r="AK36" s="23">
        <f t="shared" ref="AK36:AK60" si="45">IF(AH36=0,AJ36*AC36,IF(AA36-P36&gt;1095,0,AJ36*(AC36/2)))</f>
        <v>6.6551321081050672</v>
      </c>
      <c r="AL36" s="23">
        <f t="shared" ref="AL36:AL60" si="46">AK36*S36</f>
        <v>13.310264216210134</v>
      </c>
      <c r="AM36" s="23">
        <f t="shared" ref="AM36:AM60" si="47">IF(J36="SIM",AL36*50%,0)</f>
        <v>0</v>
      </c>
      <c r="AN36" s="23">
        <f t="shared" ref="AN36:AN60" si="48">AL36+AM36</f>
        <v>13.310264216210134</v>
      </c>
      <c r="AQ36" s="32">
        <f t="shared" ref="AQ36:AQ60" si="49">DATE(2017,1,1)</f>
        <v>42736</v>
      </c>
      <c r="AR36" s="32">
        <f t="shared" ref="AR36:AR60" si="50">DATE(2017,6,30)</f>
        <v>42916</v>
      </c>
      <c r="AS36" s="50">
        <v>12</v>
      </c>
      <c r="AT36" s="1">
        <f t="shared" ref="AT36:AT60" si="51">IF(AND(O36&lt;AQ36,P36&gt;AR36),AR36-AQ36+1,0)</f>
        <v>0</v>
      </c>
      <c r="AU36" s="1">
        <f t="shared" ref="AU36:AU60" si="52">IF(AND(O36&gt;=AQ36,P36&gt;AR36,O36&lt;AR36),AR36-O36+1,0)</f>
        <v>0</v>
      </c>
      <c r="AV36" s="1">
        <f t="shared" ref="AV36:AV60" si="53">IF(AND(O36&lt;AQ36,P36&lt;=AR36,P36&gt;=AQ36),P36-AQ36+1,0)</f>
        <v>0</v>
      </c>
      <c r="AW36" s="1">
        <f t="shared" ref="AW36:AW60" si="54">IF(AND(O36&gt;=AQ36,P36&lt;=AR36),P36-O36+1,0)</f>
        <v>0</v>
      </c>
      <c r="AX36" s="1">
        <f t="shared" ref="AX36:AX60" si="55">IF(AND(O36&lt;AQ36,P36&lt;AQ36),(AR36-AQ36+1)/2,0)</f>
        <v>90.5</v>
      </c>
      <c r="AY36" s="23">
        <f t="shared" ref="AY36:AY60" si="56">SUM(AT36:AX36)/(AR36-AQ36+1)</f>
        <v>0.5</v>
      </c>
      <c r="AZ36" s="23">
        <f t="shared" ref="AZ36:AZ60" si="57">X36*AY36</f>
        <v>0.33348156532988354</v>
      </c>
      <c r="BA36" s="23">
        <f t="shared" ref="BA36:BA60" si="58">IF(AX36=0,AZ36*AS36,IF(AQ36-P36&gt;1095,0,AZ36*(AS36/2)))</f>
        <v>2.0008893919793014</v>
      </c>
      <c r="BB36" s="23">
        <f t="shared" ref="BB36:BB60" si="59">BA36*S36</f>
        <v>4.0017787839586028</v>
      </c>
      <c r="BC36" s="23">
        <f t="shared" ref="BC36:BC60" si="60">IF(J36="SIM",BB36*50%,0)</f>
        <v>0</v>
      </c>
      <c r="BD36" s="23">
        <f t="shared" ref="BD36:BD60" si="61">BB36+BC36</f>
        <v>4.0017787839586028</v>
      </c>
    </row>
    <row r="37" spans="1:56">
      <c r="A37" s="1" t="s">
        <v>20</v>
      </c>
      <c r="B37" s="1" t="s">
        <v>40</v>
      </c>
      <c r="C37" s="1" t="s">
        <v>22</v>
      </c>
      <c r="D37" s="1" t="s">
        <v>41</v>
      </c>
      <c r="E37" s="51" t="s">
        <v>107</v>
      </c>
      <c r="F37" s="51" t="s">
        <v>108</v>
      </c>
      <c r="G37" s="51" t="s">
        <v>109</v>
      </c>
      <c r="H37" s="1" t="s">
        <v>642</v>
      </c>
      <c r="I37" s="1" t="s">
        <v>147</v>
      </c>
      <c r="J37" s="51" t="s">
        <v>148</v>
      </c>
      <c r="K37" s="51" t="s">
        <v>112</v>
      </c>
      <c r="L37" s="51" t="s">
        <v>112</v>
      </c>
      <c r="M37" s="1">
        <v>1986193</v>
      </c>
      <c r="N37" s="50" t="s">
        <v>754</v>
      </c>
      <c r="O37" s="55">
        <f>DATE(2015,4,13)</f>
        <v>42107</v>
      </c>
      <c r="P37" s="55">
        <f>DATE(2016,3,31)</f>
        <v>42460</v>
      </c>
      <c r="Q37" s="1">
        <v>1710</v>
      </c>
      <c r="S37" s="51">
        <v>2.5</v>
      </c>
      <c r="U37" s="1">
        <f t="shared" si="32"/>
        <v>354</v>
      </c>
      <c r="V37" s="31">
        <f t="shared" si="33"/>
        <v>4.8305084745762707</v>
      </c>
      <c r="W37" s="31">
        <f t="shared" si="34"/>
        <v>1710</v>
      </c>
      <c r="X37" s="31">
        <f t="shared" si="35"/>
        <v>2.1375000000000002</v>
      </c>
      <c r="AA37" s="32">
        <f t="shared" si="36"/>
        <v>42552</v>
      </c>
      <c r="AB37" s="32">
        <f t="shared" si="37"/>
        <v>42735</v>
      </c>
      <c r="AC37" s="50">
        <v>99</v>
      </c>
      <c r="AD37" s="1">
        <f t="shared" si="38"/>
        <v>0</v>
      </c>
      <c r="AE37" s="1">
        <f t="shared" si="39"/>
        <v>0</v>
      </c>
      <c r="AF37" s="1">
        <f t="shared" si="40"/>
        <v>0</v>
      </c>
      <c r="AG37" s="1">
        <f t="shared" si="41"/>
        <v>0</v>
      </c>
      <c r="AH37" s="1">
        <f t="shared" si="42"/>
        <v>92</v>
      </c>
      <c r="AI37" s="23">
        <f t="shared" si="43"/>
        <v>0.5</v>
      </c>
      <c r="AJ37" s="23">
        <f t="shared" si="44"/>
        <v>1.0687500000000001</v>
      </c>
      <c r="AK37" s="23">
        <f t="shared" si="45"/>
        <v>52.903125000000003</v>
      </c>
      <c r="AL37" s="23">
        <f t="shared" si="46"/>
        <v>132.2578125</v>
      </c>
      <c r="AM37" s="23">
        <f t="shared" si="47"/>
        <v>66.12890625</v>
      </c>
      <c r="AN37" s="23">
        <f t="shared" si="48"/>
        <v>198.38671875</v>
      </c>
      <c r="AQ37" s="32">
        <f t="shared" si="49"/>
        <v>42736</v>
      </c>
      <c r="AR37" s="32">
        <f t="shared" si="50"/>
        <v>42916</v>
      </c>
      <c r="AS37" s="50">
        <v>31</v>
      </c>
      <c r="AT37" s="1">
        <f t="shared" si="51"/>
        <v>0</v>
      </c>
      <c r="AU37" s="1">
        <f t="shared" si="52"/>
        <v>0</v>
      </c>
      <c r="AV37" s="1">
        <f t="shared" si="53"/>
        <v>0</v>
      </c>
      <c r="AW37" s="1">
        <f t="shared" si="54"/>
        <v>0</v>
      </c>
      <c r="AX37" s="1">
        <f t="shared" si="55"/>
        <v>90.5</v>
      </c>
      <c r="AY37" s="23">
        <f t="shared" si="56"/>
        <v>0.5</v>
      </c>
      <c r="AZ37" s="23">
        <f t="shared" si="57"/>
        <v>1.0687500000000001</v>
      </c>
      <c r="BA37" s="23">
        <f t="shared" si="58"/>
        <v>16.565625000000001</v>
      </c>
      <c r="BB37" s="23">
        <f t="shared" si="59"/>
        <v>41.4140625</v>
      </c>
      <c r="BC37" s="23">
        <f t="shared" si="60"/>
        <v>20.70703125</v>
      </c>
      <c r="BD37" s="23">
        <f t="shared" si="61"/>
        <v>62.12109375</v>
      </c>
    </row>
    <row r="38" spans="1:56">
      <c r="A38" s="1" t="s">
        <v>20</v>
      </c>
      <c r="B38" s="1" t="s">
        <v>40</v>
      </c>
      <c r="C38" s="1" t="s">
        <v>22</v>
      </c>
      <c r="D38" s="1" t="s">
        <v>41</v>
      </c>
      <c r="E38" s="51" t="s">
        <v>107</v>
      </c>
      <c r="F38" s="51" t="s">
        <v>108</v>
      </c>
      <c r="G38" s="51" t="s">
        <v>109</v>
      </c>
      <c r="H38" s="1" t="s">
        <v>642</v>
      </c>
      <c r="I38" s="1" t="s">
        <v>147</v>
      </c>
      <c r="J38" s="51" t="s">
        <v>148</v>
      </c>
      <c r="K38" s="51" t="s">
        <v>112</v>
      </c>
      <c r="L38" s="51" t="s">
        <v>112</v>
      </c>
      <c r="M38" s="1">
        <v>1986195</v>
      </c>
      <c r="N38" s="51" t="s">
        <v>755</v>
      </c>
      <c r="O38" s="55">
        <f>DATE(2015,4,13)</f>
        <v>42107</v>
      </c>
      <c r="P38" s="55">
        <f>DATE(2017,3,31)</f>
        <v>42825</v>
      </c>
      <c r="Q38" s="1">
        <v>4380</v>
      </c>
      <c r="S38" s="51">
        <v>2.5</v>
      </c>
      <c r="U38" s="1">
        <f t="shared" si="32"/>
        <v>719</v>
      </c>
      <c r="V38" s="31">
        <f t="shared" si="33"/>
        <v>6.0917941585535464</v>
      </c>
      <c r="W38" s="31">
        <f t="shared" si="34"/>
        <v>2223.5048678720445</v>
      </c>
      <c r="X38" s="31">
        <f t="shared" si="35"/>
        <v>2.7793810848400557</v>
      </c>
      <c r="AA38" s="32">
        <f t="shared" si="36"/>
        <v>42552</v>
      </c>
      <c r="AB38" s="32">
        <f t="shared" si="37"/>
        <v>42735</v>
      </c>
      <c r="AC38" s="51">
        <v>53</v>
      </c>
      <c r="AD38" s="1">
        <f t="shared" si="38"/>
        <v>184</v>
      </c>
      <c r="AE38" s="1">
        <f t="shared" si="39"/>
        <v>0</v>
      </c>
      <c r="AF38" s="1">
        <f t="shared" si="40"/>
        <v>0</v>
      </c>
      <c r="AG38" s="1">
        <f t="shared" si="41"/>
        <v>0</v>
      </c>
      <c r="AH38" s="1">
        <f t="shared" si="42"/>
        <v>0</v>
      </c>
      <c r="AI38" s="23">
        <f t="shared" si="43"/>
        <v>1</v>
      </c>
      <c r="AJ38" s="23">
        <f t="shared" si="44"/>
        <v>2.7793810848400557</v>
      </c>
      <c r="AK38" s="23">
        <f t="shared" si="45"/>
        <v>147.30719749652295</v>
      </c>
      <c r="AL38" s="23">
        <f t="shared" si="46"/>
        <v>368.26799374130735</v>
      </c>
      <c r="AM38" s="23">
        <f t="shared" si="47"/>
        <v>184.13399687065368</v>
      </c>
      <c r="AN38" s="23">
        <f t="shared" si="48"/>
        <v>552.40199061196108</v>
      </c>
      <c r="AQ38" s="32">
        <f t="shared" si="49"/>
        <v>42736</v>
      </c>
      <c r="AR38" s="32">
        <f t="shared" si="50"/>
        <v>42916</v>
      </c>
      <c r="AS38" s="51">
        <v>53</v>
      </c>
      <c r="AT38" s="1">
        <f t="shared" si="51"/>
        <v>0</v>
      </c>
      <c r="AU38" s="1">
        <f t="shared" si="52"/>
        <v>0</v>
      </c>
      <c r="AV38" s="1">
        <f t="shared" si="53"/>
        <v>90</v>
      </c>
      <c r="AW38" s="1">
        <f t="shared" si="54"/>
        <v>0</v>
      </c>
      <c r="AX38" s="1">
        <f t="shared" si="55"/>
        <v>0</v>
      </c>
      <c r="AY38" s="23">
        <f t="shared" si="56"/>
        <v>0.49723756906077349</v>
      </c>
      <c r="AZ38" s="23">
        <f t="shared" si="57"/>
        <v>1.3820126941193647</v>
      </c>
      <c r="BA38" s="23">
        <f t="shared" si="58"/>
        <v>73.246672788326322</v>
      </c>
      <c r="BB38" s="23">
        <f t="shared" si="59"/>
        <v>183.11668197081582</v>
      </c>
      <c r="BC38" s="23">
        <f t="shared" si="60"/>
        <v>91.558340985407909</v>
      </c>
      <c r="BD38" s="23">
        <f t="shared" si="61"/>
        <v>274.67502295622376</v>
      </c>
    </row>
    <row r="39" spans="1:56">
      <c r="A39" s="1" t="s">
        <v>20</v>
      </c>
      <c r="B39" s="1" t="s">
        <v>40</v>
      </c>
      <c r="C39" s="1" t="s">
        <v>22</v>
      </c>
      <c r="D39" s="1" t="s">
        <v>41</v>
      </c>
      <c r="E39" s="51" t="s">
        <v>107</v>
      </c>
      <c r="F39" s="51" t="s">
        <v>108</v>
      </c>
      <c r="G39" s="51" t="s">
        <v>109</v>
      </c>
      <c r="H39" s="1" t="s">
        <v>216</v>
      </c>
      <c r="I39" s="1" t="s">
        <v>111</v>
      </c>
      <c r="J39" s="51" t="s">
        <v>112</v>
      </c>
      <c r="K39" s="51" t="s">
        <v>112</v>
      </c>
      <c r="L39" s="51" t="s">
        <v>112</v>
      </c>
      <c r="M39" s="1">
        <v>1986200</v>
      </c>
      <c r="N39" s="50" t="s">
        <v>756</v>
      </c>
      <c r="O39" s="55">
        <f>DATE(2015,4,13)</f>
        <v>42107</v>
      </c>
      <c r="P39" s="55">
        <f>DATE(2016,3,31)</f>
        <v>42460</v>
      </c>
      <c r="Q39" s="1">
        <v>1240</v>
      </c>
      <c r="S39" s="51">
        <v>2</v>
      </c>
      <c r="U39" s="1">
        <f t="shared" si="32"/>
        <v>354</v>
      </c>
      <c r="V39" s="31">
        <f t="shared" si="33"/>
        <v>3.5028248587570623</v>
      </c>
      <c r="W39" s="31">
        <f t="shared" si="34"/>
        <v>1240</v>
      </c>
      <c r="X39" s="31">
        <f t="shared" si="35"/>
        <v>1.55</v>
      </c>
      <c r="AA39" s="32">
        <f t="shared" si="36"/>
        <v>42552</v>
      </c>
      <c r="AB39" s="32">
        <f t="shared" si="37"/>
        <v>42735</v>
      </c>
      <c r="AC39" s="50">
        <v>59</v>
      </c>
      <c r="AD39" s="1">
        <f t="shared" si="38"/>
        <v>0</v>
      </c>
      <c r="AE39" s="1">
        <f t="shared" si="39"/>
        <v>0</v>
      </c>
      <c r="AF39" s="1">
        <f t="shared" si="40"/>
        <v>0</v>
      </c>
      <c r="AG39" s="1">
        <f t="shared" si="41"/>
        <v>0</v>
      </c>
      <c r="AH39" s="1">
        <f t="shared" si="42"/>
        <v>92</v>
      </c>
      <c r="AI39" s="23">
        <f t="shared" si="43"/>
        <v>0.5</v>
      </c>
      <c r="AJ39" s="23">
        <f t="shared" si="44"/>
        <v>0.77500000000000002</v>
      </c>
      <c r="AK39" s="23">
        <f t="shared" si="45"/>
        <v>22.862500000000001</v>
      </c>
      <c r="AL39" s="23">
        <f t="shared" si="46"/>
        <v>45.725000000000001</v>
      </c>
      <c r="AM39" s="23">
        <f t="shared" si="47"/>
        <v>0</v>
      </c>
      <c r="AN39" s="23">
        <f t="shared" si="48"/>
        <v>45.725000000000001</v>
      </c>
      <c r="AQ39" s="32">
        <f t="shared" si="49"/>
        <v>42736</v>
      </c>
      <c r="AR39" s="32">
        <f t="shared" si="50"/>
        <v>42916</v>
      </c>
      <c r="AS39" s="50">
        <v>28</v>
      </c>
      <c r="AT39" s="1">
        <f t="shared" si="51"/>
        <v>0</v>
      </c>
      <c r="AU39" s="1">
        <f t="shared" si="52"/>
        <v>0</v>
      </c>
      <c r="AV39" s="1">
        <f t="shared" si="53"/>
        <v>0</v>
      </c>
      <c r="AW39" s="1">
        <f t="shared" si="54"/>
        <v>0</v>
      </c>
      <c r="AX39" s="1">
        <f t="shared" si="55"/>
        <v>90.5</v>
      </c>
      <c r="AY39" s="23">
        <f t="shared" si="56"/>
        <v>0.5</v>
      </c>
      <c r="AZ39" s="23">
        <f t="shared" si="57"/>
        <v>0.77500000000000002</v>
      </c>
      <c r="BA39" s="23">
        <f t="shared" si="58"/>
        <v>10.85</v>
      </c>
      <c r="BB39" s="23">
        <f t="shared" si="59"/>
        <v>21.7</v>
      </c>
      <c r="BC39" s="23">
        <f t="shared" si="60"/>
        <v>0</v>
      </c>
      <c r="BD39" s="23">
        <f t="shared" si="61"/>
        <v>21.7</v>
      </c>
    </row>
    <row r="40" spans="1:56">
      <c r="A40" s="1" t="s">
        <v>20</v>
      </c>
      <c r="B40" s="1" t="s">
        <v>40</v>
      </c>
      <c r="C40" s="1" t="s">
        <v>22</v>
      </c>
      <c r="D40" s="1" t="s">
        <v>41</v>
      </c>
      <c r="E40" s="51" t="s">
        <v>107</v>
      </c>
      <c r="F40" s="51" t="s">
        <v>108</v>
      </c>
      <c r="G40" s="51" t="s">
        <v>109</v>
      </c>
      <c r="H40" s="1" t="s">
        <v>136</v>
      </c>
      <c r="I40" s="1" t="s">
        <v>131</v>
      </c>
      <c r="J40" s="51" t="s">
        <v>112</v>
      </c>
      <c r="K40" s="51" t="s">
        <v>112</v>
      </c>
      <c r="L40" s="51" t="s">
        <v>112</v>
      </c>
      <c r="M40" s="1">
        <v>1986201</v>
      </c>
      <c r="N40" s="50" t="s">
        <v>757</v>
      </c>
      <c r="O40" s="55">
        <f>DATE(2015,4,13)</f>
        <v>42107</v>
      </c>
      <c r="P40" s="55">
        <f>DATE(2016,3,31)</f>
        <v>42460</v>
      </c>
      <c r="Q40" s="1">
        <v>1280</v>
      </c>
      <c r="S40" s="51">
        <v>1</v>
      </c>
      <c r="U40" s="1">
        <f t="shared" si="32"/>
        <v>354</v>
      </c>
      <c r="V40" s="31">
        <f t="shared" si="33"/>
        <v>3.615819209039548</v>
      </c>
      <c r="W40" s="31">
        <f t="shared" si="34"/>
        <v>1280</v>
      </c>
      <c r="X40" s="31">
        <f t="shared" si="35"/>
        <v>1.6</v>
      </c>
      <c r="AA40" s="32">
        <f t="shared" si="36"/>
        <v>42552</v>
      </c>
      <c r="AB40" s="32">
        <f t="shared" si="37"/>
        <v>42735</v>
      </c>
      <c r="AC40" s="50">
        <v>30</v>
      </c>
      <c r="AD40" s="1">
        <f t="shared" si="38"/>
        <v>0</v>
      </c>
      <c r="AE40" s="1">
        <f t="shared" si="39"/>
        <v>0</v>
      </c>
      <c r="AF40" s="1">
        <f t="shared" si="40"/>
        <v>0</v>
      </c>
      <c r="AG40" s="1">
        <f t="shared" si="41"/>
        <v>0</v>
      </c>
      <c r="AH40" s="1">
        <f t="shared" si="42"/>
        <v>92</v>
      </c>
      <c r="AI40" s="23">
        <f t="shared" si="43"/>
        <v>0.5</v>
      </c>
      <c r="AJ40" s="23">
        <f t="shared" si="44"/>
        <v>0.8</v>
      </c>
      <c r="AK40" s="23">
        <f t="shared" si="45"/>
        <v>12</v>
      </c>
      <c r="AL40" s="23">
        <f t="shared" si="46"/>
        <v>12</v>
      </c>
      <c r="AM40" s="23">
        <f t="shared" si="47"/>
        <v>0</v>
      </c>
      <c r="AN40" s="23">
        <f t="shared" si="48"/>
        <v>12</v>
      </c>
      <c r="AQ40" s="32">
        <f t="shared" si="49"/>
        <v>42736</v>
      </c>
      <c r="AR40" s="32">
        <f t="shared" si="50"/>
        <v>42916</v>
      </c>
      <c r="AS40" s="50">
        <v>12</v>
      </c>
      <c r="AT40" s="1">
        <f t="shared" si="51"/>
        <v>0</v>
      </c>
      <c r="AU40" s="1">
        <f t="shared" si="52"/>
        <v>0</v>
      </c>
      <c r="AV40" s="1">
        <f t="shared" si="53"/>
        <v>0</v>
      </c>
      <c r="AW40" s="1">
        <f t="shared" si="54"/>
        <v>0</v>
      </c>
      <c r="AX40" s="1">
        <f t="shared" si="55"/>
        <v>90.5</v>
      </c>
      <c r="AY40" s="23">
        <f t="shared" si="56"/>
        <v>0.5</v>
      </c>
      <c r="AZ40" s="23">
        <f t="shared" si="57"/>
        <v>0.8</v>
      </c>
      <c r="BA40" s="23">
        <f t="shared" si="58"/>
        <v>4.8000000000000007</v>
      </c>
      <c r="BB40" s="23">
        <f t="shared" si="59"/>
        <v>4.8000000000000007</v>
      </c>
      <c r="BC40" s="23">
        <f t="shared" si="60"/>
        <v>0</v>
      </c>
      <c r="BD40" s="23">
        <f t="shared" si="61"/>
        <v>4.8000000000000007</v>
      </c>
    </row>
    <row r="41" spans="1:56">
      <c r="A41" s="1" t="s">
        <v>20</v>
      </c>
      <c r="B41" s="1" t="s">
        <v>40</v>
      </c>
      <c r="C41" s="1" t="s">
        <v>22</v>
      </c>
      <c r="D41" s="1" t="s">
        <v>41</v>
      </c>
      <c r="E41" s="51" t="s">
        <v>107</v>
      </c>
      <c r="F41" s="51" t="s">
        <v>108</v>
      </c>
      <c r="G41" s="51" t="s">
        <v>109</v>
      </c>
      <c r="H41" s="1" t="s">
        <v>735</v>
      </c>
      <c r="I41" s="1" t="s">
        <v>720</v>
      </c>
      <c r="J41" s="51" t="s">
        <v>148</v>
      </c>
      <c r="K41" s="51" t="s">
        <v>112</v>
      </c>
      <c r="L41" s="51" t="s">
        <v>112</v>
      </c>
      <c r="M41" s="1">
        <v>1986205</v>
      </c>
      <c r="N41" s="50" t="s">
        <v>758</v>
      </c>
      <c r="O41" s="55">
        <f>DATE(2015,4,13)</f>
        <v>42107</v>
      </c>
      <c r="P41" s="55">
        <f>DATE(2016,3,31)</f>
        <v>42460</v>
      </c>
      <c r="Q41" s="1">
        <v>1820</v>
      </c>
      <c r="S41" s="51">
        <v>2.5</v>
      </c>
      <c r="U41" s="1">
        <f t="shared" si="32"/>
        <v>354</v>
      </c>
      <c r="V41" s="31">
        <f t="shared" si="33"/>
        <v>5.1412429378531073</v>
      </c>
      <c r="W41" s="31">
        <f t="shared" si="34"/>
        <v>1820</v>
      </c>
      <c r="X41" s="31">
        <f t="shared" si="35"/>
        <v>2.2749999999999999</v>
      </c>
      <c r="AA41" s="32">
        <f t="shared" si="36"/>
        <v>42552</v>
      </c>
      <c r="AB41" s="32">
        <f t="shared" si="37"/>
        <v>42735</v>
      </c>
      <c r="AC41" s="50">
        <v>52</v>
      </c>
      <c r="AD41" s="1">
        <f t="shared" si="38"/>
        <v>0</v>
      </c>
      <c r="AE41" s="1">
        <f t="shared" si="39"/>
        <v>0</v>
      </c>
      <c r="AF41" s="1">
        <f t="shared" si="40"/>
        <v>0</v>
      </c>
      <c r="AG41" s="1">
        <f t="shared" si="41"/>
        <v>0</v>
      </c>
      <c r="AH41" s="1">
        <f t="shared" si="42"/>
        <v>92</v>
      </c>
      <c r="AI41" s="23">
        <f t="shared" si="43"/>
        <v>0.5</v>
      </c>
      <c r="AJ41" s="23">
        <f t="shared" si="44"/>
        <v>1.1375</v>
      </c>
      <c r="AK41" s="23">
        <f t="shared" si="45"/>
        <v>29.574999999999999</v>
      </c>
      <c r="AL41" s="23">
        <f t="shared" si="46"/>
        <v>73.9375</v>
      </c>
      <c r="AM41" s="23">
        <f t="shared" si="47"/>
        <v>36.96875</v>
      </c>
      <c r="AN41" s="23">
        <f t="shared" si="48"/>
        <v>110.90625</v>
      </c>
      <c r="AQ41" s="32">
        <f t="shared" si="49"/>
        <v>42736</v>
      </c>
      <c r="AR41" s="32">
        <f t="shared" si="50"/>
        <v>42916</v>
      </c>
      <c r="AS41" s="50">
        <v>52</v>
      </c>
      <c r="AT41" s="1">
        <f t="shared" si="51"/>
        <v>0</v>
      </c>
      <c r="AU41" s="1">
        <f t="shared" si="52"/>
        <v>0</v>
      </c>
      <c r="AV41" s="1">
        <f t="shared" si="53"/>
        <v>0</v>
      </c>
      <c r="AW41" s="1">
        <f t="shared" si="54"/>
        <v>0</v>
      </c>
      <c r="AX41" s="1">
        <f t="shared" si="55"/>
        <v>90.5</v>
      </c>
      <c r="AY41" s="23">
        <f t="shared" si="56"/>
        <v>0.5</v>
      </c>
      <c r="AZ41" s="23">
        <f t="shared" si="57"/>
        <v>1.1375</v>
      </c>
      <c r="BA41" s="23">
        <f t="shared" si="58"/>
        <v>29.574999999999999</v>
      </c>
      <c r="BB41" s="23">
        <f t="shared" si="59"/>
        <v>73.9375</v>
      </c>
      <c r="BC41" s="23">
        <f t="shared" si="60"/>
        <v>36.96875</v>
      </c>
      <c r="BD41" s="23">
        <f t="shared" si="61"/>
        <v>110.90625</v>
      </c>
    </row>
    <row r="42" spans="1:56">
      <c r="A42" s="1" t="s">
        <v>20</v>
      </c>
      <c r="B42" s="1" t="s">
        <v>40</v>
      </c>
      <c r="C42" s="1" t="s">
        <v>22</v>
      </c>
      <c r="D42" s="1" t="s">
        <v>41</v>
      </c>
      <c r="E42" s="51" t="s">
        <v>107</v>
      </c>
      <c r="F42" s="51" t="s">
        <v>108</v>
      </c>
      <c r="G42" s="51" t="s">
        <v>109</v>
      </c>
      <c r="H42" s="1" t="s">
        <v>725</v>
      </c>
      <c r="I42" s="1" t="s">
        <v>147</v>
      </c>
      <c r="J42" s="51" t="s">
        <v>148</v>
      </c>
      <c r="K42" s="51" t="s">
        <v>112</v>
      </c>
      <c r="L42" s="51" t="s">
        <v>112</v>
      </c>
      <c r="M42" s="1">
        <v>1990483</v>
      </c>
      <c r="N42" s="50" t="s">
        <v>759</v>
      </c>
      <c r="O42" s="55">
        <f>DATE(2015,6,8)</f>
        <v>42163</v>
      </c>
      <c r="P42" s="55">
        <f>DATE(2016,12,20)</f>
        <v>42724</v>
      </c>
      <c r="Q42" s="1">
        <v>1709</v>
      </c>
      <c r="S42" s="51">
        <v>2.5</v>
      </c>
      <c r="U42" s="1">
        <f t="shared" si="32"/>
        <v>562</v>
      </c>
      <c r="V42" s="31">
        <f t="shared" si="33"/>
        <v>3.0409252669039146</v>
      </c>
      <c r="W42" s="31">
        <f t="shared" si="34"/>
        <v>1109.9377224199288</v>
      </c>
      <c r="X42" s="31">
        <f t="shared" si="35"/>
        <v>1.3874221530249111</v>
      </c>
      <c r="AA42" s="32">
        <f t="shared" si="36"/>
        <v>42552</v>
      </c>
      <c r="AB42" s="32">
        <f t="shared" si="37"/>
        <v>42735</v>
      </c>
      <c r="AC42" s="50">
        <v>16</v>
      </c>
      <c r="AD42" s="1">
        <f t="shared" si="38"/>
        <v>0</v>
      </c>
      <c r="AE42" s="1">
        <f t="shared" si="39"/>
        <v>0</v>
      </c>
      <c r="AF42" s="1">
        <f t="shared" si="40"/>
        <v>173</v>
      </c>
      <c r="AG42" s="1">
        <f t="shared" si="41"/>
        <v>0</v>
      </c>
      <c r="AH42" s="1">
        <f t="shared" si="42"/>
        <v>0</v>
      </c>
      <c r="AI42" s="23">
        <f t="shared" si="43"/>
        <v>0.94021739130434778</v>
      </c>
      <c r="AJ42" s="23">
        <f t="shared" si="44"/>
        <v>1.3044784373549436</v>
      </c>
      <c r="AK42" s="23">
        <f t="shared" si="45"/>
        <v>20.871654997679098</v>
      </c>
      <c r="AL42" s="23">
        <f t="shared" si="46"/>
        <v>52.179137494197747</v>
      </c>
      <c r="AM42" s="23">
        <f t="shared" si="47"/>
        <v>26.089568747098873</v>
      </c>
      <c r="AN42" s="23">
        <f t="shared" si="48"/>
        <v>78.268706241296627</v>
      </c>
      <c r="AQ42" s="32">
        <f t="shared" si="49"/>
        <v>42736</v>
      </c>
      <c r="AR42" s="32">
        <f t="shared" si="50"/>
        <v>42916</v>
      </c>
      <c r="AS42" s="50">
        <v>15</v>
      </c>
      <c r="AT42" s="1">
        <f t="shared" si="51"/>
        <v>0</v>
      </c>
      <c r="AU42" s="1">
        <f t="shared" si="52"/>
        <v>0</v>
      </c>
      <c r="AV42" s="1">
        <f t="shared" si="53"/>
        <v>0</v>
      </c>
      <c r="AW42" s="1">
        <f t="shared" si="54"/>
        <v>0</v>
      </c>
      <c r="AX42" s="1">
        <f t="shared" si="55"/>
        <v>90.5</v>
      </c>
      <c r="AY42" s="23">
        <f t="shared" si="56"/>
        <v>0.5</v>
      </c>
      <c r="AZ42" s="23">
        <f t="shared" si="57"/>
        <v>0.69371107651245556</v>
      </c>
      <c r="BA42" s="23">
        <f t="shared" si="58"/>
        <v>5.2028330738434168</v>
      </c>
      <c r="BB42" s="23">
        <f t="shared" si="59"/>
        <v>13.007082684608541</v>
      </c>
      <c r="BC42" s="23">
        <f t="shared" si="60"/>
        <v>6.5035413423042705</v>
      </c>
      <c r="BD42" s="23">
        <f t="shared" si="61"/>
        <v>19.510624026912812</v>
      </c>
    </row>
    <row r="43" spans="1:56">
      <c r="A43" s="1" t="s">
        <v>20</v>
      </c>
      <c r="B43" s="1" t="s">
        <v>40</v>
      </c>
      <c r="C43" s="1" t="s">
        <v>22</v>
      </c>
      <c r="D43" s="1" t="s">
        <v>41</v>
      </c>
      <c r="E43" s="51" t="s">
        <v>107</v>
      </c>
      <c r="F43" s="51" t="s">
        <v>556</v>
      </c>
      <c r="G43" s="51" t="s">
        <v>109</v>
      </c>
      <c r="H43" s="1" t="s">
        <v>729</v>
      </c>
      <c r="I43" s="1" t="s">
        <v>234</v>
      </c>
      <c r="J43" s="51" t="s">
        <v>112</v>
      </c>
      <c r="K43" s="51" t="s">
        <v>112</v>
      </c>
      <c r="L43" s="51" t="s">
        <v>112</v>
      </c>
      <c r="M43" s="1">
        <v>1997096</v>
      </c>
      <c r="N43" s="51" t="s">
        <v>760</v>
      </c>
      <c r="O43" s="55">
        <f>DATE(2015,3,23)</f>
        <v>42086</v>
      </c>
      <c r="P43" s="55">
        <f>DATE(2017,3,23)</f>
        <v>42817</v>
      </c>
      <c r="Q43" s="1">
        <v>640</v>
      </c>
      <c r="S43" s="51">
        <v>3.75</v>
      </c>
      <c r="U43" s="1">
        <f t="shared" si="32"/>
        <v>732</v>
      </c>
      <c r="V43" s="31">
        <f t="shared" si="33"/>
        <v>0.87431693989071035</v>
      </c>
      <c r="W43" s="31">
        <f t="shared" si="34"/>
        <v>319.12568306010928</v>
      </c>
      <c r="X43" s="31">
        <f t="shared" si="35"/>
        <v>0.39890710382513661</v>
      </c>
      <c r="AA43" s="32">
        <f t="shared" si="36"/>
        <v>42552</v>
      </c>
      <c r="AB43" s="32">
        <f t="shared" si="37"/>
        <v>42735</v>
      </c>
      <c r="AC43" s="51">
        <v>20</v>
      </c>
      <c r="AD43" s="1">
        <f t="shared" si="38"/>
        <v>184</v>
      </c>
      <c r="AE43" s="1">
        <f t="shared" si="39"/>
        <v>0</v>
      </c>
      <c r="AF43" s="1">
        <f t="shared" si="40"/>
        <v>0</v>
      </c>
      <c r="AG43" s="1">
        <f t="shared" si="41"/>
        <v>0</v>
      </c>
      <c r="AH43" s="1">
        <f t="shared" si="42"/>
        <v>0</v>
      </c>
      <c r="AI43" s="23">
        <f t="shared" si="43"/>
        <v>1</v>
      </c>
      <c r="AJ43" s="23">
        <f t="shared" si="44"/>
        <v>0.39890710382513661</v>
      </c>
      <c r="AK43" s="23">
        <f t="shared" si="45"/>
        <v>7.9781420765027322</v>
      </c>
      <c r="AL43" s="23">
        <f t="shared" si="46"/>
        <v>29.918032786885245</v>
      </c>
      <c r="AM43" s="23">
        <f t="shared" si="47"/>
        <v>0</v>
      </c>
      <c r="AN43" s="23">
        <f t="shared" si="48"/>
        <v>29.918032786885245</v>
      </c>
      <c r="AQ43" s="32">
        <f t="shared" si="49"/>
        <v>42736</v>
      </c>
      <c r="AR43" s="32">
        <f t="shared" si="50"/>
        <v>42916</v>
      </c>
      <c r="AS43" s="51">
        <v>20</v>
      </c>
      <c r="AT43" s="1">
        <f t="shared" si="51"/>
        <v>0</v>
      </c>
      <c r="AU43" s="1">
        <f t="shared" si="52"/>
        <v>0</v>
      </c>
      <c r="AV43" s="1">
        <f t="shared" si="53"/>
        <v>82</v>
      </c>
      <c r="AW43" s="1">
        <f t="shared" si="54"/>
        <v>0</v>
      </c>
      <c r="AX43" s="1">
        <f t="shared" si="55"/>
        <v>0</v>
      </c>
      <c r="AY43" s="23">
        <f t="shared" si="56"/>
        <v>0.45303867403314918</v>
      </c>
      <c r="AZ43" s="23">
        <f t="shared" si="57"/>
        <v>0.18072034537934367</v>
      </c>
      <c r="BA43" s="23">
        <f t="shared" si="58"/>
        <v>3.6144069075868734</v>
      </c>
      <c r="BB43" s="23">
        <f t="shared" si="59"/>
        <v>13.554025903450775</v>
      </c>
      <c r="BC43" s="23">
        <f t="shared" si="60"/>
        <v>0</v>
      </c>
      <c r="BD43" s="23">
        <f t="shared" si="61"/>
        <v>13.554025903450775</v>
      </c>
    </row>
    <row r="44" spans="1:56">
      <c r="A44" s="1" t="s">
        <v>20</v>
      </c>
      <c r="B44" s="1" t="s">
        <v>40</v>
      </c>
      <c r="C44" s="1" t="s">
        <v>22</v>
      </c>
      <c r="D44" s="1" t="s">
        <v>41</v>
      </c>
      <c r="E44" s="51" t="s">
        <v>107</v>
      </c>
      <c r="F44" s="51" t="s">
        <v>265</v>
      </c>
      <c r="G44" s="51" t="s">
        <v>109</v>
      </c>
      <c r="H44" s="1" t="s">
        <v>716</v>
      </c>
      <c r="I44" s="1" t="s">
        <v>147</v>
      </c>
      <c r="J44" s="51" t="s">
        <v>148</v>
      </c>
      <c r="K44" s="51" t="s">
        <v>112</v>
      </c>
      <c r="L44" s="51" t="s">
        <v>112</v>
      </c>
      <c r="M44" s="1">
        <v>1997155</v>
      </c>
      <c r="N44" s="52" t="s">
        <v>761</v>
      </c>
      <c r="O44" s="55">
        <f>DATE(2015,4,13)</f>
        <v>42107</v>
      </c>
      <c r="P44" s="55">
        <f>DATE(2019,10,11)</f>
        <v>43749</v>
      </c>
      <c r="Q44" s="1">
        <v>4730</v>
      </c>
      <c r="S44" s="51">
        <v>2.5</v>
      </c>
      <c r="U44" s="1">
        <f t="shared" si="32"/>
        <v>1643</v>
      </c>
      <c r="V44" s="31">
        <f t="shared" si="33"/>
        <v>2.8788800973828361</v>
      </c>
      <c r="W44" s="31">
        <f t="shared" si="34"/>
        <v>1050.7912355447352</v>
      </c>
      <c r="X44" s="31">
        <f t="shared" si="35"/>
        <v>1.3134890444309191</v>
      </c>
      <c r="AA44" s="32">
        <f t="shared" si="36"/>
        <v>42552</v>
      </c>
      <c r="AB44" s="32">
        <f t="shared" si="37"/>
        <v>42735</v>
      </c>
      <c r="AC44" s="52">
        <v>40</v>
      </c>
      <c r="AD44" s="1">
        <f t="shared" si="38"/>
        <v>184</v>
      </c>
      <c r="AE44" s="1">
        <f t="shared" si="39"/>
        <v>0</v>
      </c>
      <c r="AF44" s="1">
        <f t="shared" si="40"/>
        <v>0</v>
      </c>
      <c r="AG44" s="1">
        <f t="shared" si="41"/>
        <v>0</v>
      </c>
      <c r="AH44" s="1">
        <f t="shared" si="42"/>
        <v>0</v>
      </c>
      <c r="AI44" s="23">
        <f t="shared" si="43"/>
        <v>1</v>
      </c>
      <c r="AJ44" s="23">
        <f t="shared" si="44"/>
        <v>1.3134890444309191</v>
      </c>
      <c r="AK44" s="23">
        <f t="shared" si="45"/>
        <v>52.539561777236763</v>
      </c>
      <c r="AL44" s="23">
        <f t="shared" si="46"/>
        <v>131.3489044430919</v>
      </c>
      <c r="AM44" s="23">
        <f t="shared" si="47"/>
        <v>65.674452221545948</v>
      </c>
      <c r="AN44" s="23">
        <f t="shared" si="48"/>
        <v>197.02335666463784</v>
      </c>
      <c r="AQ44" s="32">
        <f t="shared" si="49"/>
        <v>42736</v>
      </c>
      <c r="AR44" s="32">
        <f t="shared" si="50"/>
        <v>42916</v>
      </c>
      <c r="AS44" s="52">
        <v>40</v>
      </c>
      <c r="AT44" s="1">
        <f t="shared" si="51"/>
        <v>181</v>
      </c>
      <c r="AU44" s="1">
        <f t="shared" si="52"/>
        <v>0</v>
      </c>
      <c r="AV44" s="1">
        <f t="shared" si="53"/>
        <v>0</v>
      </c>
      <c r="AW44" s="1">
        <f t="shared" si="54"/>
        <v>0</v>
      </c>
      <c r="AX44" s="1">
        <f t="shared" si="55"/>
        <v>0</v>
      </c>
      <c r="AY44" s="23">
        <f t="shared" si="56"/>
        <v>1</v>
      </c>
      <c r="AZ44" s="23">
        <f t="shared" si="57"/>
        <v>1.3134890444309191</v>
      </c>
      <c r="BA44" s="23">
        <f t="shared" si="58"/>
        <v>52.539561777236763</v>
      </c>
      <c r="BB44" s="23">
        <f t="shared" si="59"/>
        <v>131.3489044430919</v>
      </c>
      <c r="BC44" s="23">
        <f t="shared" si="60"/>
        <v>65.674452221545948</v>
      </c>
      <c r="BD44" s="23">
        <f t="shared" si="61"/>
        <v>197.02335666463784</v>
      </c>
    </row>
    <row r="45" spans="1:56">
      <c r="A45" s="1" t="s">
        <v>20</v>
      </c>
      <c r="B45" s="1" t="s">
        <v>40</v>
      </c>
      <c r="C45" s="1" t="s">
        <v>22</v>
      </c>
      <c r="D45" s="1" t="s">
        <v>41</v>
      </c>
      <c r="E45" s="51" t="s">
        <v>107</v>
      </c>
      <c r="F45" s="51" t="s">
        <v>294</v>
      </c>
      <c r="G45" s="51" t="s">
        <v>109</v>
      </c>
      <c r="H45" s="1" t="s">
        <v>719</v>
      </c>
      <c r="I45" s="1" t="s">
        <v>720</v>
      </c>
      <c r="J45" s="51" t="s">
        <v>148</v>
      </c>
      <c r="K45" s="51" t="s">
        <v>112</v>
      </c>
      <c r="L45" s="51" t="s">
        <v>112</v>
      </c>
      <c r="M45" s="1">
        <v>1997156</v>
      </c>
      <c r="N45" s="52" t="s">
        <v>762</v>
      </c>
      <c r="O45" s="55">
        <f>DATE(2015,4,13)</f>
        <v>42107</v>
      </c>
      <c r="P45" s="55">
        <f>DATE(2018,4,13)</f>
        <v>43203</v>
      </c>
      <c r="Q45" s="1">
        <v>3495</v>
      </c>
      <c r="S45" s="51">
        <v>2.5</v>
      </c>
      <c r="U45" s="1">
        <f t="shared" si="32"/>
        <v>1097</v>
      </c>
      <c r="V45" s="31">
        <f t="shared" si="33"/>
        <v>3.1859617137648133</v>
      </c>
      <c r="W45" s="31">
        <f t="shared" si="34"/>
        <v>1162.8760255241568</v>
      </c>
      <c r="X45" s="31">
        <f t="shared" si="35"/>
        <v>1.453595031905196</v>
      </c>
      <c r="AA45" s="32">
        <f t="shared" si="36"/>
        <v>42552</v>
      </c>
      <c r="AB45" s="32">
        <f t="shared" si="37"/>
        <v>42735</v>
      </c>
      <c r="AC45" s="52">
        <v>38</v>
      </c>
      <c r="AD45" s="1">
        <f t="shared" si="38"/>
        <v>184</v>
      </c>
      <c r="AE45" s="1">
        <f t="shared" si="39"/>
        <v>0</v>
      </c>
      <c r="AF45" s="1">
        <f t="shared" si="40"/>
        <v>0</v>
      </c>
      <c r="AG45" s="1">
        <f t="shared" si="41"/>
        <v>0</v>
      </c>
      <c r="AH45" s="1">
        <f t="shared" si="42"/>
        <v>0</v>
      </c>
      <c r="AI45" s="23">
        <f t="shared" si="43"/>
        <v>1</v>
      </c>
      <c r="AJ45" s="23">
        <f t="shared" si="44"/>
        <v>1.453595031905196</v>
      </c>
      <c r="AK45" s="23">
        <f t="shared" si="45"/>
        <v>55.236611212397449</v>
      </c>
      <c r="AL45" s="23">
        <f t="shared" si="46"/>
        <v>138.09152803099363</v>
      </c>
      <c r="AM45" s="23">
        <f t="shared" si="47"/>
        <v>69.045764015496815</v>
      </c>
      <c r="AN45" s="23">
        <f t="shared" si="48"/>
        <v>207.13729204649044</v>
      </c>
      <c r="AQ45" s="32">
        <f t="shared" si="49"/>
        <v>42736</v>
      </c>
      <c r="AR45" s="32">
        <f t="shared" si="50"/>
        <v>42916</v>
      </c>
      <c r="AS45" s="52">
        <v>38</v>
      </c>
      <c r="AT45" s="1">
        <f t="shared" si="51"/>
        <v>181</v>
      </c>
      <c r="AU45" s="1">
        <f t="shared" si="52"/>
        <v>0</v>
      </c>
      <c r="AV45" s="1">
        <f t="shared" si="53"/>
        <v>0</v>
      </c>
      <c r="AW45" s="1">
        <f t="shared" si="54"/>
        <v>0</v>
      </c>
      <c r="AX45" s="1">
        <f t="shared" si="55"/>
        <v>0</v>
      </c>
      <c r="AY45" s="23">
        <f t="shared" si="56"/>
        <v>1</v>
      </c>
      <c r="AZ45" s="23">
        <f t="shared" si="57"/>
        <v>1.453595031905196</v>
      </c>
      <c r="BA45" s="23">
        <f t="shared" si="58"/>
        <v>55.236611212397449</v>
      </c>
      <c r="BB45" s="23">
        <f t="shared" si="59"/>
        <v>138.09152803099363</v>
      </c>
      <c r="BC45" s="23">
        <f t="shared" si="60"/>
        <v>69.045764015496815</v>
      </c>
      <c r="BD45" s="23">
        <f t="shared" si="61"/>
        <v>207.13729204649044</v>
      </c>
    </row>
    <row r="46" spans="1:56">
      <c r="A46" s="1" t="s">
        <v>20</v>
      </c>
      <c r="B46" s="1" t="s">
        <v>40</v>
      </c>
      <c r="C46" s="1" t="s">
        <v>22</v>
      </c>
      <c r="D46" s="1" t="s">
        <v>41</v>
      </c>
      <c r="E46" s="51" t="s">
        <v>107</v>
      </c>
      <c r="F46" s="51" t="s">
        <v>114</v>
      </c>
      <c r="G46" s="51" t="s">
        <v>109</v>
      </c>
      <c r="H46" s="1" t="s">
        <v>120</v>
      </c>
      <c r="I46" s="1" t="s">
        <v>111</v>
      </c>
      <c r="J46" s="51" t="s">
        <v>112</v>
      </c>
      <c r="K46" s="51" t="s">
        <v>112</v>
      </c>
      <c r="L46" s="51" t="s">
        <v>112</v>
      </c>
      <c r="M46" s="1">
        <v>1997157</v>
      </c>
      <c r="N46" s="52" t="s">
        <v>763</v>
      </c>
      <c r="O46" s="55">
        <f>DATE(2015,4,13)</f>
        <v>42107</v>
      </c>
      <c r="P46" s="55">
        <f>DATE(2018,4,13)</f>
        <v>43203</v>
      </c>
      <c r="Q46" s="1">
        <v>3300</v>
      </c>
      <c r="S46" s="51">
        <v>2.5</v>
      </c>
      <c r="U46" s="1">
        <f t="shared" si="32"/>
        <v>1097</v>
      </c>
      <c r="V46" s="31">
        <f t="shared" si="33"/>
        <v>3.00820419325433</v>
      </c>
      <c r="W46" s="31">
        <f t="shared" si="34"/>
        <v>1097.9945305378305</v>
      </c>
      <c r="X46" s="31">
        <f t="shared" si="35"/>
        <v>1.3724931631722881</v>
      </c>
      <c r="AA46" s="32">
        <f t="shared" si="36"/>
        <v>42552</v>
      </c>
      <c r="AB46" s="32">
        <f t="shared" si="37"/>
        <v>42735</v>
      </c>
      <c r="AC46" s="52">
        <v>37</v>
      </c>
      <c r="AD46" s="1">
        <f t="shared" si="38"/>
        <v>184</v>
      </c>
      <c r="AE46" s="1">
        <f t="shared" si="39"/>
        <v>0</v>
      </c>
      <c r="AF46" s="1">
        <f t="shared" si="40"/>
        <v>0</v>
      </c>
      <c r="AG46" s="1">
        <f t="shared" si="41"/>
        <v>0</v>
      </c>
      <c r="AH46" s="1">
        <f t="shared" si="42"/>
        <v>0</v>
      </c>
      <c r="AI46" s="23">
        <f t="shared" si="43"/>
        <v>1</v>
      </c>
      <c r="AJ46" s="23">
        <f t="shared" si="44"/>
        <v>1.3724931631722881</v>
      </c>
      <c r="AK46" s="23">
        <f t="shared" si="45"/>
        <v>50.78224703737466</v>
      </c>
      <c r="AL46" s="23">
        <f t="shared" si="46"/>
        <v>126.95561759343664</v>
      </c>
      <c r="AM46" s="23">
        <f t="shared" si="47"/>
        <v>0</v>
      </c>
      <c r="AN46" s="23">
        <f t="shared" si="48"/>
        <v>126.95561759343664</v>
      </c>
      <c r="AQ46" s="32">
        <f t="shared" si="49"/>
        <v>42736</v>
      </c>
      <c r="AR46" s="32">
        <f t="shared" si="50"/>
        <v>42916</v>
      </c>
      <c r="AS46" s="52">
        <v>37</v>
      </c>
      <c r="AT46" s="1">
        <f t="shared" si="51"/>
        <v>181</v>
      </c>
      <c r="AU46" s="1">
        <f t="shared" si="52"/>
        <v>0</v>
      </c>
      <c r="AV46" s="1">
        <f t="shared" si="53"/>
        <v>0</v>
      </c>
      <c r="AW46" s="1">
        <f t="shared" si="54"/>
        <v>0</v>
      </c>
      <c r="AX46" s="1">
        <f t="shared" si="55"/>
        <v>0</v>
      </c>
      <c r="AY46" s="23">
        <f t="shared" si="56"/>
        <v>1</v>
      </c>
      <c r="AZ46" s="23">
        <f t="shared" si="57"/>
        <v>1.3724931631722881</v>
      </c>
      <c r="BA46" s="23">
        <f t="shared" si="58"/>
        <v>50.78224703737466</v>
      </c>
      <c r="BB46" s="23">
        <f t="shared" si="59"/>
        <v>126.95561759343664</v>
      </c>
      <c r="BC46" s="23">
        <f t="shared" si="60"/>
        <v>0</v>
      </c>
      <c r="BD46" s="23">
        <f t="shared" si="61"/>
        <v>126.95561759343664</v>
      </c>
    </row>
    <row r="47" spans="1:56">
      <c r="A47" s="1" t="s">
        <v>20</v>
      </c>
      <c r="B47" s="1" t="s">
        <v>40</v>
      </c>
      <c r="C47" s="1" t="s">
        <v>22</v>
      </c>
      <c r="D47" s="1" t="s">
        <v>41</v>
      </c>
      <c r="E47" s="51" t="s">
        <v>107</v>
      </c>
      <c r="F47" s="51" t="s">
        <v>108</v>
      </c>
      <c r="G47" s="51" t="s">
        <v>109</v>
      </c>
      <c r="H47" s="1" t="s">
        <v>642</v>
      </c>
      <c r="I47" s="1" t="s">
        <v>147</v>
      </c>
      <c r="J47" s="51" t="s">
        <v>148</v>
      </c>
      <c r="K47" s="51" t="s">
        <v>148</v>
      </c>
      <c r="L47" s="51" t="s">
        <v>112</v>
      </c>
      <c r="M47" s="1">
        <v>2020341</v>
      </c>
      <c r="N47" s="52" t="s">
        <v>764</v>
      </c>
      <c r="O47" s="55">
        <f>DATE(2015,10,22)</f>
        <v>42299</v>
      </c>
      <c r="P47" s="55">
        <f>DATE(2018,10,26)</f>
        <v>43399</v>
      </c>
      <c r="Q47" s="1">
        <v>4709</v>
      </c>
      <c r="S47" s="51">
        <v>2.5</v>
      </c>
      <c r="U47" s="1">
        <f t="shared" si="32"/>
        <v>1101</v>
      </c>
      <c r="V47" s="31">
        <f t="shared" si="33"/>
        <v>4.2770208900999096</v>
      </c>
      <c r="W47" s="31">
        <f t="shared" si="34"/>
        <v>1561.1126248864671</v>
      </c>
      <c r="X47" s="31">
        <f t="shared" si="35"/>
        <v>1.9513907811080839</v>
      </c>
      <c r="AA47" s="32">
        <f t="shared" si="36"/>
        <v>42552</v>
      </c>
      <c r="AB47" s="32">
        <f t="shared" si="37"/>
        <v>42735</v>
      </c>
      <c r="AC47" s="52">
        <v>35</v>
      </c>
      <c r="AD47" s="1">
        <f t="shared" si="38"/>
        <v>184</v>
      </c>
      <c r="AE47" s="1">
        <f t="shared" si="39"/>
        <v>0</v>
      </c>
      <c r="AF47" s="1">
        <f t="shared" si="40"/>
        <v>0</v>
      </c>
      <c r="AG47" s="1">
        <f t="shared" si="41"/>
        <v>0</v>
      </c>
      <c r="AH47" s="1">
        <f t="shared" si="42"/>
        <v>0</v>
      </c>
      <c r="AI47" s="23">
        <f t="shared" si="43"/>
        <v>1</v>
      </c>
      <c r="AJ47" s="23">
        <f t="shared" si="44"/>
        <v>1.9513907811080839</v>
      </c>
      <c r="AK47" s="23">
        <f t="shared" si="45"/>
        <v>68.298677338782937</v>
      </c>
      <c r="AL47" s="23">
        <f t="shared" si="46"/>
        <v>170.74669334695733</v>
      </c>
      <c r="AM47" s="23">
        <f t="shared" si="47"/>
        <v>85.373346673478665</v>
      </c>
      <c r="AN47" s="23">
        <f t="shared" si="48"/>
        <v>256.12004002043602</v>
      </c>
      <c r="AQ47" s="32">
        <f t="shared" si="49"/>
        <v>42736</v>
      </c>
      <c r="AR47" s="32">
        <f t="shared" si="50"/>
        <v>42916</v>
      </c>
      <c r="AS47" s="52">
        <v>27</v>
      </c>
      <c r="AT47" s="1">
        <f t="shared" si="51"/>
        <v>181</v>
      </c>
      <c r="AU47" s="1">
        <f t="shared" si="52"/>
        <v>0</v>
      </c>
      <c r="AV47" s="1">
        <f t="shared" si="53"/>
        <v>0</v>
      </c>
      <c r="AW47" s="1">
        <f t="shared" si="54"/>
        <v>0</v>
      </c>
      <c r="AX47" s="1">
        <f t="shared" si="55"/>
        <v>0</v>
      </c>
      <c r="AY47" s="23">
        <f t="shared" si="56"/>
        <v>1</v>
      </c>
      <c r="AZ47" s="23">
        <f t="shared" si="57"/>
        <v>1.9513907811080839</v>
      </c>
      <c r="BA47" s="23">
        <f t="shared" si="58"/>
        <v>52.687551089918266</v>
      </c>
      <c r="BB47" s="23">
        <f t="shared" si="59"/>
        <v>131.71887772479568</v>
      </c>
      <c r="BC47" s="23">
        <f t="shared" si="60"/>
        <v>65.859438862397838</v>
      </c>
      <c r="BD47" s="23">
        <f t="shared" si="61"/>
        <v>197.57831658719351</v>
      </c>
    </row>
    <row r="48" spans="1:56">
      <c r="A48" s="1" t="s">
        <v>20</v>
      </c>
      <c r="B48" s="1" t="s">
        <v>40</v>
      </c>
      <c r="C48" s="1" t="s">
        <v>22</v>
      </c>
      <c r="D48" s="1" t="s">
        <v>41</v>
      </c>
      <c r="E48" s="51" t="s">
        <v>107</v>
      </c>
      <c r="F48" s="51" t="s">
        <v>108</v>
      </c>
      <c r="G48" s="51" t="s">
        <v>109</v>
      </c>
      <c r="H48" s="1" t="s">
        <v>735</v>
      </c>
      <c r="I48" s="1" t="s">
        <v>720</v>
      </c>
      <c r="J48" s="51" t="s">
        <v>148</v>
      </c>
      <c r="K48" s="51" t="s">
        <v>112</v>
      </c>
      <c r="L48" s="51" t="s">
        <v>112</v>
      </c>
      <c r="M48" s="1">
        <v>2020351</v>
      </c>
      <c r="N48" s="52" t="s">
        <v>765</v>
      </c>
      <c r="O48" s="55">
        <f>DATE(2016,1,18)</f>
        <v>42387</v>
      </c>
      <c r="P48" s="55">
        <f>DATE(2018,1,19)</f>
        <v>43119</v>
      </c>
      <c r="Q48" s="1">
        <v>1948</v>
      </c>
      <c r="S48" s="51">
        <v>2.5</v>
      </c>
      <c r="U48" s="1">
        <f t="shared" si="32"/>
        <v>733</v>
      </c>
      <c r="V48" s="31">
        <f t="shared" si="33"/>
        <v>2.6575716234652114</v>
      </c>
      <c r="W48" s="31">
        <f t="shared" si="34"/>
        <v>970.01364256480213</v>
      </c>
      <c r="X48" s="31">
        <f t="shared" si="35"/>
        <v>1.2125170532060026</v>
      </c>
      <c r="AA48" s="32">
        <f t="shared" si="36"/>
        <v>42552</v>
      </c>
      <c r="AB48" s="32">
        <f t="shared" si="37"/>
        <v>42735</v>
      </c>
      <c r="AC48" s="52">
        <v>42</v>
      </c>
      <c r="AD48" s="1">
        <f t="shared" si="38"/>
        <v>184</v>
      </c>
      <c r="AE48" s="1">
        <f t="shared" si="39"/>
        <v>0</v>
      </c>
      <c r="AF48" s="1">
        <f t="shared" si="40"/>
        <v>0</v>
      </c>
      <c r="AG48" s="1">
        <f t="shared" si="41"/>
        <v>0</v>
      </c>
      <c r="AH48" s="1">
        <f t="shared" si="42"/>
        <v>0</v>
      </c>
      <c r="AI48" s="23">
        <f t="shared" si="43"/>
        <v>1</v>
      </c>
      <c r="AJ48" s="23">
        <f t="shared" si="44"/>
        <v>1.2125170532060026</v>
      </c>
      <c r="AK48" s="23">
        <f t="shared" si="45"/>
        <v>50.925716234652107</v>
      </c>
      <c r="AL48" s="23">
        <f t="shared" si="46"/>
        <v>127.31429058663026</v>
      </c>
      <c r="AM48" s="23">
        <f t="shared" si="47"/>
        <v>63.657145293315132</v>
      </c>
      <c r="AN48" s="23">
        <f t="shared" si="48"/>
        <v>190.9714358799454</v>
      </c>
      <c r="AQ48" s="32">
        <f t="shared" si="49"/>
        <v>42736</v>
      </c>
      <c r="AR48" s="32">
        <f t="shared" si="50"/>
        <v>42916</v>
      </c>
      <c r="AS48" s="52">
        <v>41</v>
      </c>
      <c r="AT48" s="1">
        <f t="shared" si="51"/>
        <v>181</v>
      </c>
      <c r="AU48" s="1">
        <f t="shared" si="52"/>
        <v>0</v>
      </c>
      <c r="AV48" s="1">
        <f t="shared" si="53"/>
        <v>0</v>
      </c>
      <c r="AW48" s="1">
        <f t="shared" si="54"/>
        <v>0</v>
      </c>
      <c r="AX48" s="1">
        <f t="shared" si="55"/>
        <v>0</v>
      </c>
      <c r="AY48" s="23">
        <f t="shared" si="56"/>
        <v>1</v>
      </c>
      <c r="AZ48" s="23">
        <f t="shared" si="57"/>
        <v>1.2125170532060026</v>
      </c>
      <c r="BA48" s="23">
        <f t="shared" si="58"/>
        <v>49.713199181446107</v>
      </c>
      <c r="BB48" s="23">
        <f t="shared" si="59"/>
        <v>124.28299795361526</v>
      </c>
      <c r="BC48" s="23">
        <f t="shared" si="60"/>
        <v>62.141498976807632</v>
      </c>
      <c r="BD48" s="23">
        <f t="shared" si="61"/>
        <v>186.42449693042289</v>
      </c>
    </row>
    <row r="49" spans="1:56">
      <c r="A49" s="1" t="s">
        <v>20</v>
      </c>
      <c r="B49" s="1" t="s">
        <v>40</v>
      </c>
      <c r="C49" s="1" t="s">
        <v>22</v>
      </c>
      <c r="D49" s="1" t="s">
        <v>41</v>
      </c>
      <c r="E49" s="51" t="s">
        <v>107</v>
      </c>
      <c r="F49" s="51" t="s">
        <v>108</v>
      </c>
      <c r="G49" s="51" t="s">
        <v>109</v>
      </c>
      <c r="H49" s="1" t="s">
        <v>642</v>
      </c>
      <c r="I49" s="1" t="s">
        <v>147</v>
      </c>
      <c r="J49" s="51" t="s">
        <v>148</v>
      </c>
      <c r="K49" s="51" t="s">
        <v>112</v>
      </c>
      <c r="L49" s="51" t="s">
        <v>112</v>
      </c>
      <c r="M49" s="1">
        <v>2035188</v>
      </c>
      <c r="N49" s="52" t="s">
        <v>766</v>
      </c>
      <c r="O49" s="55">
        <f t="shared" ref="O49:O56" si="62">DATE(2016,6,6)</f>
        <v>42527</v>
      </c>
      <c r="P49" s="55">
        <f>DATE(2019,6,30)</f>
        <v>43646</v>
      </c>
      <c r="Q49" s="1">
        <v>4380</v>
      </c>
      <c r="S49" s="51">
        <v>2.5</v>
      </c>
      <c r="U49" s="1">
        <f t="shared" si="32"/>
        <v>1120</v>
      </c>
      <c r="V49" s="31">
        <f t="shared" si="33"/>
        <v>3.9107142857142856</v>
      </c>
      <c r="W49" s="31">
        <f t="shared" si="34"/>
        <v>1427.4107142857142</v>
      </c>
      <c r="X49" s="31">
        <f t="shared" si="35"/>
        <v>1.7842633928571427</v>
      </c>
      <c r="AA49" s="32">
        <f t="shared" si="36"/>
        <v>42552</v>
      </c>
      <c r="AB49" s="32">
        <f t="shared" si="37"/>
        <v>42735</v>
      </c>
      <c r="AC49" s="52">
        <v>119</v>
      </c>
      <c r="AD49" s="1">
        <f t="shared" si="38"/>
        <v>184</v>
      </c>
      <c r="AE49" s="1">
        <f t="shared" si="39"/>
        <v>0</v>
      </c>
      <c r="AF49" s="1">
        <f t="shared" si="40"/>
        <v>0</v>
      </c>
      <c r="AG49" s="1">
        <f t="shared" si="41"/>
        <v>0</v>
      </c>
      <c r="AH49" s="1">
        <f t="shared" si="42"/>
        <v>0</v>
      </c>
      <c r="AI49" s="23">
        <f t="shared" si="43"/>
        <v>1</v>
      </c>
      <c r="AJ49" s="23">
        <f t="shared" si="44"/>
        <v>1.7842633928571427</v>
      </c>
      <c r="AK49" s="23">
        <f t="shared" si="45"/>
        <v>212.32734374999998</v>
      </c>
      <c r="AL49" s="23">
        <f t="shared" si="46"/>
        <v>530.818359375</v>
      </c>
      <c r="AM49" s="23">
        <f t="shared" si="47"/>
        <v>265.4091796875</v>
      </c>
      <c r="AN49" s="23">
        <f t="shared" si="48"/>
        <v>796.2275390625</v>
      </c>
      <c r="AQ49" s="32">
        <f t="shared" si="49"/>
        <v>42736</v>
      </c>
      <c r="AR49" s="32">
        <f t="shared" si="50"/>
        <v>42916</v>
      </c>
      <c r="AS49" s="52">
        <v>110</v>
      </c>
      <c r="AT49" s="1">
        <f t="shared" si="51"/>
        <v>181</v>
      </c>
      <c r="AU49" s="1">
        <f t="shared" si="52"/>
        <v>0</v>
      </c>
      <c r="AV49" s="1">
        <f t="shared" si="53"/>
        <v>0</v>
      </c>
      <c r="AW49" s="1">
        <f t="shared" si="54"/>
        <v>0</v>
      </c>
      <c r="AX49" s="1">
        <f t="shared" si="55"/>
        <v>0</v>
      </c>
      <c r="AY49" s="23">
        <f t="shared" si="56"/>
        <v>1</v>
      </c>
      <c r="AZ49" s="23">
        <f t="shared" si="57"/>
        <v>1.7842633928571427</v>
      </c>
      <c r="BA49" s="23">
        <f t="shared" si="58"/>
        <v>196.26897321428569</v>
      </c>
      <c r="BB49" s="23">
        <f t="shared" si="59"/>
        <v>490.67243303571422</v>
      </c>
      <c r="BC49" s="23">
        <f t="shared" si="60"/>
        <v>245.33621651785711</v>
      </c>
      <c r="BD49" s="23">
        <f t="shared" si="61"/>
        <v>736.00864955357133</v>
      </c>
    </row>
    <row r="50" spans="1:56">
      <c r="A50" s="1" t="s">
        <v>20</v>
      </c>
      <c r="B50" s="1" t="s">
        <v>40</v>
      </c>
      <c r="C50" s="1" t="s">
        <v>22</v>
      </c>
      <c r="D50" s="1" t="s">
        <v>41</v>
      </c>
      <c r="E50" s="51" t="s">
        <v>107</v>
      </c>
      <c r="F50" s="51" t="s">
        <v>108</v>
      </c>
      <c r="G50" s="51" t="s">
        <v>109</v>
      </c>
      <c r="H50" s="1" t="s">
        <v>642</v>
      </c>
      <c r="I50" s="1" t="s">
        <v>147</v>
      </c>
      <c r="J50" s="51" t="s">
        <v>148</v>
      </c>
      <c r="K50" s="51" t="s">
        <v>112</v>
      </c>
      <c r="L50" s="51" t="s">
        <v>112</v>
      </c>
      <c r="M50" s="1">
        <v>2035192</v>
      </c>
      <c r="N50" s="51" t="s">
        <v>767</v>
      </c>
      <c r="O50" s="55">
        <f t="shared" si="62"/>
        <v>42527</v>
      </c>
      <c r="P50" s="55">
        <f>DATE(2017,6,30)</f>
        <v>42916</v>
      </c>
      <c r="Q50" s="1">
        <v>1710</v>
      </c>
      <c r="S50" s="51">
        <v>2.5</v>
      </c>
      <c r="U50" s="1">
        <f t="shared" si="32"/>
        <v>390</v>
      </c>
      <c r="V50" s="31">
        <f t="shared" si="33"/>
        <v>4.384615384615385</v>
      </c>
      <c r="W50" s="31">
        <f t="shared" si="34"/>
        <v>1600.3846153846155</v>
      </c>
      <c r="X50" s="31">
        <f t="shared" si="35"/>
        <v>2.0004807692307693</v>
      </c>
      <c r="AA50" s="32">
        <f t="shared" si="36"/>
        <v>42552</v>
      </c>
      <c r="AB50" s="32">
        <f t="shared" si="37"/>
        <v>42735</v>
      </c>
      <c r="AC50" s="51">
        <v>120</v>
      </c>
      <c r="AD50" s="1">
        <f t="shared" si="38"/>
        <v>184</v>
      </c>
      <c r="AE50" s="1">
        <f t="shared" si="39"/>
        <v>0</v>
      </c>
      <c r="AF50" s="1">
        <f t="shared" si="40"/>
        <v>0</v>
      </c>
      <c r="AG50" s="1">
        <f t="shared" si="41"/>
        <v>0</v>
      </c>
      <c r="AH50" s="1">
        <f t="shared" si="42"/>
        <v>0</v>
      </c>
      <c r="AI50" s="23">
        <f t="shared" si="43"/>
        <v>1</v>
      </c>
      <c r="AJ50" s="23">
        <f t="shared" si="44"/>
        <v>2.0004807692307693</v>
      </c>
      <c r="AK50" s="23">
        <f t="shared" si="45"/>
        <v>240.05769230769232</v>
      </c>
      <c r="AL50" s="23">
        <f t="shared" si="46"/>
        <v>600.14423076923083</v>
      </c>
      <c r="AM50" s="23">
        <f t="shared" si="47"/>
        <v>300.07211538461542</v>
      </c>
      <c r="AN50" s="23">
        <f t="shared" si="48"/>
        <v>900.21634615384619</v>
      </c>
      <c r="AQ50" s="32">
        <f t="shared" si="49"/>
        <v>42736</v>
      </c>
      <c r="AR50" s="32">
        <f t="shared" si="50"/>
        <v>42916</v>
      </c>
      <c r="AS50" s="51">
        <v>119</v>
      </c>
      <c r="AT50" s="1">
        <f t="shared" si="51"/>
        <v>0</v>
      </c>
      <c r="AU50" s="1">
        <f t="shared" si="52"/>
        <v>0</v>
      </c>
      <c r="AV50" s="1">
        <f t="shared" si="53"/>
        <v>181</v>
      </c>
      <c r="AW50" s="1">
        <f t="shared" si="54"/>
        <v>0</v>
      </c>
      <c r="AX50" s="1">
        <f t="shared" si="55"/>
        <v>0</v>
      </c>
      <c r="AY50" s="23">
        <f t="shared" si="56"/>
        <v>1</v>
      </c>
      <c r="AZ50" s="23">
        <f t="shared" si="57"/>
        <v>2.0004807692307693</v>
      </c>
      <c r="BA50" s="23">
        <f t="shared" si="58"/>
        <v>238.05721153846156</v>
      </c>
      <c r="BB50" s="23">
        <f t="shared" si="59"/>
        <v>595.14302884615392</v>
      </c>
      <c r="BC50" s="23">
        <f t="shared" si="60"/>
        <v>297.57151442307696</v>
      </c>
      <c r="BD50" s="23">
        <f t="shared" si="61"/>
        <v>892.71454326923094</v>
      </c>
    </row>
    <row r="51" spans="1:56">
      <c r="A51" s="1" t="s">
        <v>20</v>
      </c>
      <c r="B51" s="1" t="s">
        <v>40</v>
      </c>
      <c r="C51" s="1" t="s">
        <v>22</v>
      </c>
      <c r="D51" s="1" t="s">
        <v>41</v>
      </c>
      <c r="E51" s="51" t="s">
        <v>107</v>
      </c>
      <c r="F51" s="51" t="s">
        <v>108</v>
      </c>
      <c r="G51" s="51" t="s">
        <v>109</v>
      </c>
      <c r="H51" s="1" t="s">
        <v>136</v>
      </c>
      <c r="I51" s="1" t="s">
        <v>131</v>
      </c>
      <c r="J51" s="51" t="s">
        <v>112</v>
      </c>
      <c r="K51" s="51" t="s">
        <v>112</v>
      </c>
      <c r="L51" s="51" t="s">
        <v>112</v>
      </c>
      <c r="M51" s="1">
        <v>2035199</v>
      </c>
      <c r="N51" s="51" t="s">
        <v>768</v>
      </c>
      <c r="O51" s="55">
        <f t="shared" si="62"/>
        <v>42527</v>
      </c>
      <c r="P51" s="55">
        <f>DATE(2017,6,30)</f>
        <v>42916</v>
      </c>
      <c r="Q51" s="1">
        <v>1280</v>
      </c>
      <c r="S51" s="51">
        <v>1</v>
      </c>
      <c r="U51" s="1">
        <f t="shared" si="32"/>
        <v>390</v>
      </c>
      <c r="V51" s="31">
        <f t="shared" si="33"/>
        <v>3.2820512820512819</v>
      </c>
      <c r="W51" s="31">
        <f t="shared" si="34"/>
        <v>1197.948717948718</v>
      </c>
      <c r="X51" s="31">
        <f t="shared" si="35"/>
        <v>1.4974358974358974</v>
      </c>
      <c r="AA51" s="32">
        <f t="shared" si="36"/>
        <v>42552</v>
      </c>
      <c r="AB51" s="32">
        <f t="shared" si="37"/>
        <v>42735</v>
      </c>
      <c r="AC51" s="51">
        <v>39</v>
      </c>
      <c r="AD51" s="1">
        <f t="shared" si="38"/>
        <v>184</v>
      </c>
      <c r="AE51" s="1">
        <f t="shared" si="39"/>
        <v>0</v>
      </c>
      <c r="AF51" s="1">
        <f t="shared" si="40"/>
        <v>0</v>
      </c>
      <c r="AG51" s="1">
        <f t="shared" si="41"/>
        <v>0</v>
      </c>
      <c r="AH51" s="1">
        <f t="shared" si="42"/>
        <v>0</v>
      </c>
      <c r="AI51" s="23">
        <f t="shared" si="43"/>
        <v>1</v>
      </c>
      <c r="AJ51" s="23">
        <f t="shared" si="44"/>
        <v>1.4974358974358974</v>
      </c>
      <c r="AK51" s="23">
        <f t="shared" si="45"/>
        <v>58.4</v>
      </c>
      <c r="AL51" s="23">
        <f t="shared" si="46"/>
        <v>58.4</v>
      </c>
      <c r="AM51" s="23">
        <f t="shared" si="47"/>
        <v>0</v>
      </c>
      <c r="AN51" s="23">
        <f t="shared" si="48"/>
        <v>58.4</v>
      </c>
      <c r="AQ51" s="32">
        <f t="shared" si="49"/>
        <v>42736</v>
      </c>
      <c r="AR51" s="32">
        <f t="shared" si="50"/>
        <v>42916</v>
      </c>
      <c r="AS51" s="51">
        <v>38</v>
      </c>
      <c r="AT51" s="1">
        <f t="shared" si="51"/>
        <v>0</v>
      </c>
      <c r="AU51" s="1">
        <f t="shared" si="52"/>
        <v>0</v>
      </c>
      <c r="AV51" s="1">
        <f t="shared" si="53"/>
        <v>181</v>
      </c>
      <c r="AW51" s="1">
        <f t="shared" si="54"/>
        <v>0</v>
      </c>
      <c r="AX51" s="1">
        <f t="shared" si="55"/>
        <v>0</v>
      </c>
      <c r="AY51" s="23">
        <f t="shared" si="56"/>
        <v>1</v>
      </c>
      <c r="AZ51" s="23">
        <f t="shared" si="57"/>
        <v>1.4974358974358974</v>
      </c>
      <c r="BA51" s="23">
        <f t="shared" si="58"/>
        <v>56.902564102564099</v>
      </c>
      <c r="BB51" s="23">
        <f t="shared" si="59"/>
        <v>56.902564102564099</v>
      </c>
      <c r="BC51" s="23">
        <f t="shared" si="60"/>
        <v>0</v>
      </c>
      <c r="BD51" s="23">
        <f t="shared" si="61"/>
        <v>56.902564102564099</v>
      </c>
    </row>
    <row r="52" spans="1:56">
      <c r="A52" s="1" t="s">
        <v>20</v>
      </c>
      <c r="B52" s="1" t="s">
        <v>40</v>
      </c>
      <c r="C52" s="1" t="s">
        <v>22</v>
      </c>
      <c r="D52" s="1" t="s">
        <v>41</v>
      </c>
      <c r="E52" s="51" t="s">
        <v>107</v>
      </c>
      <c r="F52" s="51" t="s">
        <v>108</v>
      </c>
      <c r="G52" s="51" t="s">
        <v>109</v>
      </c>
      <c r="H52" s="1" t="s">
        <v>216</v>
      </c>
      <c r="I52" s="1" t="s">
        <v>111</v>
      </c>
      <c r="J52" s="51" t="s">
        <v>112</v>
      </c>
      <c r="K52" s="51" t="s">
        <v>112</v>
      </c>
      <c r="L52" s="51" t="s">
        <v>112</v>
      </c>
      <c r="M52" s="1">
        <v>2035200</v>
      </c>
      <c r="N52" s="51" t="s">
        <v>769</v>
      </c>
      <c r="O52" s="55">
        <f t="shared" si="62"/>
        <v>42527</v>
      </c>
      <c r="P52" s="55">
        <f>DATE(2017,6,30)</f>
        <v>42916</v>
      </c>
      <c r="Q52" s="1">
        <v>1240</v>
      </c>
      <c r="S52" s="51">
        <v>2</v>
      </c>
      <c r="U52" s="1">
        <f t="shared" si="32"/>
        <v>390</v>
      </c>
      <c r="V52" s="31">
        <f t="shared" si="33"/>
        <v>3.1794871794871793</v>
      </c>
      <c r="W52" s="31">
        <f t="shared" si="34"/>
        <v>1160.5128205128206</v>
      </c>
      <c r="X52" s="31">
        <f t="shared" si="35"/>
        <v>1.4506410256410256</v>
      </c>
      <c r="AA52" s="32">
        <f t="shared" si="36"/>
        <v>42552</v>
      </c>
      <c r="AB52" s="32">
        <f t="shared" si="37"/>
        <v>42735</v>
      </c>
      <c r="AC52" s="51">
        <v>41</v>
      </c>
      <c r="AD52" s="1">
        <f t="shared" si="38"/>
        <v>184</v>
      </c>
      <c r="AE52" s="1">
        <f t="shared" si="39"/>
        <v>0</v>
      </c>
      <c r="AF52" s="1">
        <f t="shared" si="40"/>
        <v>0</v>
      </c>
      <c r="AG52" s="1">
        <f t="shared" si="41"/>
        <v>0</v>
      </c>
      <c r="AH52" s="1">
        <f t="shared" si="42"/>
        <v>0</v>
      </c>
      <c r="AI52" s="23">
        <f t="shared" si="43"/>
        <v>1</v>
      </c>
      <c r="AJ52" s="23">
        <f t="shared" si="44"/>
        <v>1.4506410256410256</v>
      </c>
      <c r="AK52" s="23">
        <f t="shared" si="45"/>
        <v>59.476282051282048</v>
      </c>
      <c r="AL52" s="23">
        <f t="shared" si="46"/>
        <v>118.9525641025641</v>
      </c>
      <c r="AM52" s="23">
        <f t="shared" si="47"/>
        <v>0</v>
      </c>
      <c r="AN52" s="23">
        <f t="shared" si="48"/>
        <v>118.9525641025641</v>
      </c>
      <c r="AQ52" s="32">
        <f t="shared" si="49"/>
        <v>42736</v>
      </c>
      <c r="AR52" s="32">
        <f t="shared" si="50"/>
        <v>42916</v>
      </c>
      <c r="AS52" s="51">
        <v>32</v>
      </c>
      <c r="AT52" s="1">
        <f t="shared" si="51"/>
        <v>0</v>
      </c>
      <c r="AU52" s="1">
        <f t="shared" si="52"/>
        <v>0</v>
      </c>
      <c r="AV52" s="1">
        <f t="shared" si="53"/>
        <v>181</v>
      </c>
      <c r="AW52" s="1">
        <f t="shared" si="54"/>
        <v>0</v>
      </c>
      <c r="AX52" s="1">
        <f t="shared" si="55"/>
        <v>0</v>
      </c>
      <c r="AY52" s="23">
        <f t="shared" si="56"/>
        <v>1</v>
      </c>
      <c r="AZ52" s="23">
        <f t="shared" si="57"/>
        <v>1.4506410256410256</v>
      </c>
      <c r="BA52" s="23">
        <f t="shared" si="58"/>
        <v>46.420512820512819</v>
      </c>
      <c r="BB52" s="23">
        <f t="shared" si="59"/>
        <v>92.841025641025638</v>
      </c>
      <c r="BC52" s="23">
        <f t="shared" si="60"/>
        <v>0</v>
      </c>
      <c r="BD52" s="23">
        <f t="shared" si="61"/>
        <v>92.841025641025638</v>
      </c>
    </row>
    <row r="53" spans="1:56">
      <c r="A53" s="1" t="s">
        <v>20</v>
      </c>
      <c r="B53" s="1" t="s">
        <v>40</v>
      </c>
      <c r="C53" s="1" t="s">
        <v>22</v>
      </c>
      <c r="D53" s="1" t="s">
        <v>41</v>
      </c>
      <c r="E53" s="51" t="s">
        <v>107</v>
      </c>
      <c r="F53" s="51" t="s">
        <v>108</v>
      </c>
      <c r="G53" s="51" t="s">
        <v>109</v>
      </c>
      <c r="H53" s="1" t="s">
        <v>735</v>
      </c>
      <c r="I53" s="1" t="s">
        <v>720</v>
      </c>
      <c r="J53" s="51" t="s">
        <v>148</v>
      </c>
      <c r="K53" s="51" t="s">
        <v>112</v>
      </c>
      <c r="L53" s="51" t="s">
        <v>112</v>
      </c>
      <c r="M53" s="1">
        <v>2035205</v>
      </c>
      <c r="N53" s="52" t="s">
        <v>770</v>
      </c>
      <c r="O53" s="55">
        <f t="shared" si="62"/>
        <v>42527</v>
      </c>
      <c r="P53" s="55">
        <f>DATE(2018,6,30)</f>
        <v>43281</v>
      </c>
      <c r="Q53" s="1">
        <v>1820</v>
      </c>
      <c r="S53" s="51">
        <v>2.5</v>
      </c>
      <c r="U53" s="1">
        <f t="shared" si="32"/>
        <v>755</v>
      </c>
      <c r="V53" s="31">
        <f t="shared" si="33"/>
        <v>2.4105960264900661</v>
      </c>
      <c r="W53" s="31">
        <f t="shared" si="34"/>
        <v>879.86754966887418</v>
      </c>
      <c r="X53" s="31">
        <f t="shared" si="35"/>
        <v>1.0998344370860926</v>
      </c>
      <c r="AA53" s="32">
        <f t="shared" si="36"/>
        <v>42552</v>
      </c>
      <c r="AB53" s="32">
        <f t="shared" si="37"/>
        <v>42735</v>
      </c>
      <c r="AC53" s="52">
        <v>35</v>
      </c>
      <c r="AD53" s="1">
        <f t="shared" si="38"/>
        <v>184</v>
      </c>
      <c r="AE53" s="1">
        <f t="shared" si="39"/>
        <v>0</v>
      </c>
      <c r="AF53" s="1">
        <f t="shared" si="40"/>
        <v>0</v>
      </c>
      <c r="AG53" s="1">
        <f t="shared" si="41"/>
        <v>0</v>
      </c>
      <c r="AH53" s="1">
        <f t="shared" si="42"/>
        <v>0</v>
      </c>
      <c r="AI53" s="23">
        <f t="shared" si="43"/>
        <v>1</v>
      </c>
      <c r="AJ53" s="23">
        <f t="shared" si="44"/>
        <v>1.0998344370860926</v>
      </c>
      <c r="AK53" s="23">
        <f t="shared" si="45"/>
        <v>38.494205298013242</v>
      </c>
      <c r="AL53" s="23">
        <f t="shared" si="46"/>
        <v>96.235513245033104</v>
      </c>
      <c r="AM53" s="23">
        <f t="shared" si="47"/>
        <v>48.117756622516552</v>
      </c>
      <c r="AN53" s="23">
        <f t="shared" si="48"/>
        <v>144.35326986754967</v>
      </c>
      <c r="AQ53" s="32">
        <f t="shared" si="49"/>
        <v>42736</v>
      </c>
      <c r="AR53" s="32">
        <f t="shared" si="50"/>
        <v>42916</v>
      </c>
      <c r="AS53" s="52">
        <v>35</v>
      </c>
      <c r="AT53" s="1">
        <f t="shared" si="51"/>
        <v>181</v>
      </c>
      <c r="AU53" s="1">
        <f t="shared" si="52"/>
        <v>0</v>
      </c>
      <c r="AV53" s="1">
        <f t="shared" si="53"/>
        <v>0</v>
      </c>
      <c r="AW53" s="1">
        <f t="shared" si="54"/>
        <v>0</v>
      </c>
      <c r="AX53" s="1">
        <f t="shared" si="55"/>
        <v>0</v>
      </c>
      <c r="AY53" s="23">
        <f t="shared" si="56"/>
        <v>1</v>
      </c>
      <c r="AZ53" s="23">
        <f t="shared" si="57"/>
        <v>1.0998344370860926</v>
      </c>
      <c r="BA53" s="23">
        <f t="shared" si="58"/>
        <v>38.494205298013242</v>
      </c>
      <c r="BB53" s="23">
        <f t="shared" si="59"/>
        <v>96.235513245033104</v>
      </c>
      <c r="BC53" s="23">
        <f t="shared" si="60"/>
        <v>48.117756622516552</v>
      </c>
      <c r="BD53" s="23">
        <f t="shared" si="61"/>
        <v>144.35326986754967</v>
      </c>
    </row>
    <row r="54" spans="1:56">
      <c r="A54" s="1" t="s">
        <v>20</v>
      </c>
      <c r="B54" s="1" t="s">
        <v>40</v>
      </c>
      <c r="C54" s="1" t="s">
        <v>22</v>
      </c>
      <c r="D54" s="1" t="s">
        <v>41</v>
      </c>
      <c r="E54" s="51" t="s">
        <v>107</v>
      </c>
      <c r="F54" s="51" t="s">
        <v>294</v>
      </c>
      <c r="G54" s="51" t="s">
        <v>109</v>
      </c>
      <c r="H54" s="1" t="s">
        <v>719</v>
      </c>
      <c r="I54" s="1" t="s">
        <v>720</v>
      </c>
      <c r="J54" s="51" t="s">
        <v>148</v>
      </c>
      <c r="K54" s="51" t="s">
        <v>112</v>
      </c>
      <c r="L54" s="51" t="s">
        <v>112</v>
      </c>
      <c r="M54" s="1">
        <v>2054432</v>
      </c>
      <c r="N54" s="52" t="s">
        <v>771</v>
      </c>
      <c r="O54" s="55">
        <f t="shared" si="62"/>
        <v>42527</v>
      </c>
      <c r="P54" s="55">
        <f>DATE(2019,7,6)</f>
        <v>43652</v>
      </c>
      <c r="Q54" s="1">
        <v>3770</v>
      </c>
      <c r="S54" s="51">
        <v>2.5</v>
      </c>
      <c r="U54" s="1">
        <f t="shared" si="32"/>
        <v>1126</v>
      </c>
      <c r="V54" s="31">
        <f t="shared" si="33"/>
        <v>3.3481349911190055</v>
      </c>
      <c r="W54" s="31">
        <f t="shared" si="34"/>
        <v>1222.069271758437</v>
      </c>
      <c r="X54" s="31">
        <f t="shared" si="35"/>
        <v>1.5275865896980463</v>
      </c>
      <c r="AA54" s="32">
        <f t="shared" si="36"/>
        <v>42552</v>
      </c>
      <c r="AB54" s="32">
        <f t="shared" si="37"/>
        <v>42735</v>
      </c>
      <c r="AC54" s="52">
        <v>38</v>
      </c>
      <c r="AD54" s="1">
        <f t="shared" si="38"/>
        <v>184</v>
      </c>
      <c r="AE54" s="1">
        <f t="shared" si="39"/>
        <v>0</v>
      </c>
      <c r="AF54" s="1">
        <f t="shared" si="40"/>
        <v>0</v>
      </c>
      <c r="AG54" s="1">
        <f t="shared" si="41"/>
        <v>0</v>
      </c>
      <c r="AH54" s="1">
        <f t="shared" si="42"/>
        <v>0</v>
      </c>
      <c r="AI54" s="23">
        <f t="shared" si="43"/>
        <v>1</v>
      </c>
      <c r="AJ54" s="23">
        <f t="shared" si="44"/>
        <v>1.5275865896980463</v>
      </c>
      <c r="AK54" s="23">
        <f t="shared" si="45"/>
        <v>58.048290408525759</v>
      </c>
      <c r="AL54" s="23">
        <f t="shared" si="46"/>
        <v>145.1207260213144</v>
      </c>
      <c r="AM54" s="23">
        <f t="shared" si="47"/>
        <v>72.560363010657198</v>
      </c>
      <c r="AN54" s="23">
        <f t="shared" si="48"/>
        <v>217.6810890319716</v>
      </c>
      <c r="AQ54" s="32">
        <f t="shared" si="49"/>
        <v>42736</v>
      </c>
      <c r="AR54" s="32">
        <f t="shared" si="50"/>
        <v>42916</v>
      </c>
      <c r="AS54" s="52">
        <v>37</v>
      </c>
      <c r="AT54" s="1">
        <f t="shared" si="51"/>
        <v>181</v>
      </c>
      <c r="AU54" s="1">
        <f t="shared" si="52"/>
        <v>0</v>
      </c>
      <c r="AV54" s="1">
        <f t="shared" si="53"/>
        <v>0</v>
      </c>
      <c r="AW54" s="1">
        <f t="shared" si="54"/>
        <v>0</v>
      </c>
      <c r="AX54" s="1">
        <f t="shared" si="55"/>
        <v>0</v>
      </c>
      <c r="AY54" s="23">
        <f t="shared" si="56"/>
        <v>1</v>
      </c>
      <c r="AZ54" s="23">
        <f t="shared" si="57"/>
        <v>1.5275865896980463</v>
      </c>
      <c r="BA54" s="23">
        <f t="shared" si="58"/>
        <v>56.520703818827712</v>
      </c>
      <c r="BB54" s="23">
        <f t="shared" si="59"/>
        <v>141.30175954706928</v>
      </c>
      <c r="BC54" s="23">
        <f t="shared" si="60"/>
        <v>70.650879773534641</v>
      </c>
      <c r="BD54" s="23">
        <f t="shared" si="61"/>
        <v>211.95263932060391</v>
      </c>
    </row>
    <row r="55" spans="1:56">
      <c r="A55" s="1" t="s">
        <v>20</v>
      </c>
      <c r="B55" s="1" t="s">
        <v>40</v>
      </c>
      <c r="C55" s="1" t="s">
        <v>22</v>
      </c>
      <c r="D55" s="1" t="s">
        <v>41</v>
      </c>
      <c r="E55" s="51" t="s">
        <v>107</v>
      </c>
      <c r="F55" s="51" t="s">
        <v>114</v>
      </c>
      <c r="G55" s="51" t="s">
        <v>109</v>
      </c>
      <c r="H55" s="1" t="s">
        <v>120</v>
      </c>
      <c r="I55" s="1" t="s">
        <v>111</v>
      </c>
      <c r="J55" s="51" t="s">
        <v>112</v>
      </c>
      <c r="K55" s="51" t="s">
        <v>112</v>
      </c>
      <c r="L55" s="51" t="s">
        <v>112</v>
      </c>
      <c r="M55" s="1">
        <v>2054436</v>
      </c>
      <c r="N55" s="52" t="s">
        <v>772</v>
      </c>
      <c r="O55" s="55">
        <f t="shared" si="62"/>
        <v>42527</v>
      </c>
      <c r="P55" s="55">
        <f>DATE(2020,7,6)</f>
        <v>44018</v>
      </c>
      <c r="Q55" s="1">
        <v>3020</v>
      </c>
      <c r="S55" s="51">
        <v>2.5</v>
      </c>
      <c r="U55" s="1">
        <f t="shared" si="32"/>
        <v>1492</v>
      </c>
      <c r="V55" s="31">
        <f t="shared" si="33"/>
        <v>2.0241286863270775</v>
      </c>
      <c r="W55" s="31">
        <f t="shared" si="34"/>
        <v>738.80697050938329</v>
      </c>
      <c r="X55" s="31">
        <f t="shared" si="35"/>
        <v>0.92350871313672911</v>
      </c>
      <c r="AA55" s="32">
        <f t="shared" si="36"/>
        <v>42552</v>
      </c>
      <c r="AB55" s="32">
        <f t="shared" si="37"/>
        <v>42735</v>
      </c>
      <c r="AC55" s="52">
        <v>40</v>
      </c>
      <c r="AD55" s="1">
        <f t="shared" si="38"/>
        <v>184</v>
      </c>
      <c r="AE55" s="1">
        <f t="shared" si="39"/>
        <v>0</v>
      </c>
      <c r="AF55" s="1">
        <f t="shared" si="40"/>
        <v>0</v>
      </c>
      <c r="AG55" s="1">
        <f t="shared" si="41"/>
        <v>0</v>
      </c>
      <c r="AH55" s="1">
        <f t="shared" si="42"/>
        <v>0</v>
      </c>
      <c r="AI55" s="23">
        <f t="shared" si="43"/>
        <v>1</v>
      </c>
      <c r="AJ55" s="23">
        <f t="shared" si="44"/>
        <v>0.92350871313672911</v>
      </c>
      <c r="AK55" s="23">
        <f t="shared" si="45"/>
        <v>36.940348525469162</v>
      </c>
      <c r="AL55" s="23">
        <f t="shared" si="46"/>
        <v>92.350871313672911</v>
      </c>
      <c r="AM55" s="23">
        <f t="shared" si="47"/>
        <v>0</v>
      </c>
      <c r="AN55" s="23">
        <f t="shared" si="48"/>
        <v>92.350871313672911</v>
      </c>
      <c r="AQ55" s="32">
        <f t="shared" si="49"/>
        <v>42736</v>
      </c>
      <c r="AR55" s="32">
        <f t="shared" si="50"/>
        <v>42916</v>
      </c>
      <c r="AS55" s="52">
        <v>40</v>
      </c>
      <c r="AT55" s="1">
        <f t="shared" si="51"/>
        <v>181</v>
      </c>
      <c r="AU55" s="1">
        <f t="shared" si="52"/>
        <v>0</v>
      </c>
      <c r="AV55" s="1">
        <f t="shared" si="53"/>
        <v>0</v>
      </c>
      <c r="AW55" s="1">
        <f t="shared" si="54"/>
        <v>0</v>
      </c>
      <c r="AX55" s="1">
        <f t="shared" si="55"/>
        <v>0</v>
      </c>
      <c r="AY55" s="23">
        <f t="shared" si="56"/>
        <v>1</v>
      </c>
      <c r="AZ55" s="23">
        <f t="shared" si="57"/>
        <v>0.92350871313672911</v>
      </c>
      <c r="BA55" s="23">
        <f t="shared" si="58"/>
        <v>36.940348525469162</v>
      </c>
      <c r="BB55" s="23">
        <f t="shared" si="59"/>
        <v>92.350871313672911</v>
      </c>
      <c r="BC55" s="23">
        <f t="shared" si="60"/>
        <v>0</v>
      </c>
      <c r="BD55" s="23">
        <f t="shared" si="61"/>
        <v>92.350871313672911</v>
      </c>
    </row>
    <row r="56" spans="1:56">
      <c r="A56" s="1" t="s">
        <v>20</v>
      </c>
      <c r="B56" s="1" t="s">
        <v>40</v>
      </c>
      <c r="C56" s="1" t="s">
        <v>22</v>
      </c>
      <c r="D56" s="1" t="s">
        <v>41</v>
      </c>
      <c r="E56" s="51" t="s">
        <v>107</v>
      </c>
      <c r="F56" s="51" t="s">
        <v>265</v>
      </c>
      <c r="G56" s="51" t="s">
        <v>109</v>
      </c>
      <c r="H56" s="1" t="s">
        <v>716</v>
      </c>
      <c r="I56" s="1" t="s">
        <v>147</v>
      </c>
      <c r="J56" s="51" t="s">
        <v>148</v>
      </c>
      <c r="K56" s="51" t="s">
        <v>112</v>
      </c>
      <c r="L56" s="51" t="s">
        <v>112</v>
      </c>
      <c r="M56" s="1">
        <v>2054437</v>
      </c>
      <c r="N56" s="52" t="s">
        <v>773</v>
      </c>
      <c r="O56" s="55">
        <f t="shared" si="62"/>
        <v>42527</v>
      </c>
      <c r="P56" s="55">
        <f>DATE(2020,7,6)</f>
        <v>44018</v>
      </c>
      <c r="Q56" s="1">
        <v>4775</v>
      </c>
      <c r="S56" s="51">
        <v>2.5</v>
      </c>
      <c r="U56" s="1">
        <f t="shared" si="32"/>
        <v>1492</v>
      </c>
      <c r="V56" s="31">
        <f t="shared" si="33"/>
        <v>3.2004021447721178</v>
      </c>
      <c r="W56" s="31">
        <f t="shared" si="34"/>
        <v>1168.1467828418231</v>
      </c>
      <c r="X56" s="31">
        <f t="shared" si="35"/>
        <v>1.4601834785522789</v>
      </c>
      <c r="AA56" s="32">
        <f t="shared" si="36"/>
        <v>42552</v>
      </c>
      <c r="AB56" s="32">
        <f t="shared" si="37"/>
        <v>42735</v>
      </c>
      <c r="AC56" s="52">
        <v>40</v>
      </c>
      <c r="AD56" s="1">
        <f t="shared" si="38"/>
        <v>184</v>
      </c>
      <c r="AE56" s="1">
        <f t="shared" si="39"/>
        <v>0</v>
      </c>
      <c r="AF56" s="1">
        <f t="shared" si="40"/>
        <v>0</v>
      </c>
      <c r="AG56" s="1">
        <f t="shared" si="41"/>
        <v>0</v>
      </c>
      <c r="AH56" s="1">
        <f t="shared" si="42"/>
        <v>0</v>
      </c>
      <c r="AI56" s="23">
        <f t="shared" si="43"/>
        <v>1</v>
      </c>
      <c r="AJ56" s="23">
        <f t="shared" si="44"/>
        <v>1.4601834785522789</v>
      </c>
      <c r="AK56" s="23">
        <f t="shared" si="45"/>
        <v>58.407339142091161</v>
      </c>
      <c r="AL56" s="23">
        <f t="shared" si="46"/>
        <v>146.01834785522789</v>
      </c>
      <c r="AM56" s="23">
        <f t="shared" si="47"/>
        <v>73.009173927613944</v>
      </c>
      <c r="AN56" s="23">
        <f t="shared" si="48"/>
        <v>219.02752178284183</v>
      </c>
      <c r="AQ56" s="32">
        <f t="shared" si="49"/>
        <v>42736</v>
      </c>
      <c r="AR56" s="32">
        <f t="shared" si="50"/>
        <v>42916</v>
      </c>
      <c r="AS56" s="52">
        <v>40</v>
      </c>
      <c r="AT56" s="1">
        <f t="shared" si="51"/>
        <v>181</v>
      </c>
      <c r="AU56" s="1">
        <f t="shared" si="52"/>
        <v>0</v>
      </c>
      <c r="AV56" s="1">
        <f t="shared" si="53"/>
        <v>0</v>
      </c>
      <c r="AW56" s="1">
        <f t="shared" si="54"/>
        <v>0</v>
      </c>
      <c r="AX56" s="1">
        <f t="shared" si="55"/>
        <v>0</v>
      </c>
      <c r="AY56" s="23">
        <f t="shared" si="56"/>
        <v>1</v>
      </c>
      <c r="AZ56" s="23">
        <f t="shared" si="57"/>
        <v>1.4601834785522789</v>
      </c>
      <c r="BA56" s="23">
        <f t="shared" si="58"/>
        <v>58.407339142091161</v>
      </c>
      <c r="BB56" s="23">
        <f t="shared" si="59"/>
        <v>146.01834785522789</v>
      </c>
      <c r="BC56" s="23">
        <f t="shared" si="60"/>
        <v>73.009173927613944</v>
      </c>
      <c r="BD56" s="23">
        <f t="shared" si="61"/>
        <v>219.02752178284183</v>
      </c>
    </row>
    <row r="57" spans="1:56">
      <c r="A57" s="1" t="s">
        <v>20</v>
      </c>
      <c r="B57" s="1" t="s">
        <v>40</v>
      </c>
      <c r="C57" s="1" t="s">
        <v>22</v>
      </c>
      <c r="D57" s="1" t="s">
        <v>41</v>
      </c>
      <c r="E57" s="51" t="s">
        <v>107</v>
      </c>
      <c r="F57" s="51" t="s">
        <v>108</v>
      </c>
      <c r="G57" s="51" t="s">
        <v>109</v>
      </c>
      <c r="H57" s="1" t="s">
        <v>725</v>
      </c>
      <c r="I57" s="1" t="s">
        <v>147</v>
      </c>
      <c r="J57" s="51" t="s">
        <v>148</v>
      </c>
      <c r="K57" s="51" t="s">
        <v>112</v>
      </c>
      <c r="L57" s="51" t="s">
        <v>112</v>
      </c>
      <c r="M57" s="1">
        <v>2161277</v>
      </c>
      <c r="N57" s="52" t="s">
        <v>774</v>
      </c>
      <c r="O57" s="55">
        <f>DATE(2016,8,8)</f>
        <v>42590</v>
      </c>
      <c r="P57" s="55">
        <f>DATE(2018,1,30)</f>
        <v>43130</v>
      </c>
      <c r="Q57" s="1">
        <v>1709</v>
      </c>
      <c r="S57" s="51">
        <v>2.5</v>
      </c>
      <c r="U57" s="1">
        <f t="shared" si="32"/>
        <v>541</v>
      </c>
      <c r="V57" s="31">
        <f t="shared" si="33"/>
        <v>3.1589648798521255</v>
      </c>
      <c r="W57" s="31">
        <f t="shared" si="34"/>
        <v>1153.0221811460258</v>
      </c>
      <c r="X57" s="31">
        <f t="shared" si="35"/>
        <v>1.4412777264325323</v>
      </c>
      <c r="AA57" s="32">
        <f t="shared" si="36"/>
        <v>42552</v>
      </c>
      <c r="AB57" s="32">
        <f t="shared" si="37"/>
        <v>42735</v>
      </c>
      <c r="AC57" s="52">
        <v>39</v>
      </c>
      <c r="AD57" s="1">
        <f t="shared" si="38"/>
        <v>0</v>
      </c>
      <c r="AE57" s="1">
        <f t="shared" si="39"/>
        <v>146</v>
      </c>
      <c r="AF57" s="1">
        <f t="shared" si="40"/>
        <v>0</v>
      </c>
      <c r="AG57" s="1">
        <f t="shared" si="41"/>
        <v>0</v>
      </c>
      <c r="AH57" s="1">
        <f t="shared" si="42"/>
        <v>0</v>
      </c>
      <c r="AI57" s="23">
        <f t="shared" si="43"/>
        <v>0.79347826086956519</v>
      </c>
      <c r="AJ57" s="23">
        <f t="shared" si="44"/>
        <v>1.1436225437997267</v>
      </c>
      <c r="AK57" s="23">
        <f t="shared" si="45"/>
        <v>44.601279208189339</v>
      </c>
      <c r="AL57" s="23">
        <f t="shared" si="46"/>
        <v>111.50319802047335</v>
      </c>
      <c r="AM57" s="23">
        <f t="shared" si="47"/>
        <v>55.751599010236674</v>
      </c>
      <c r="AN57" s="23">
        <f t="shared" si="48"/>
        <v>167.25479703071002</v>
      </c>
      <c r="AQ57" s="32">
        <f t="shared" si="49"/>
        <v>42736</v>
      </c>
      <c r="AR57" s="32">
        <f t="shared" si="50"/>
        <v>42916</v>
      </c>
      <c r="AS57" s="52">
        <v>38</v>
      </c>
      <c r="AT57" s="1">
        <f t="shared" si="51"/>
        <v>181</v>
      </c>
      <c r="AU57" s="1">
        <f t="shared" si="52"/>
        <v>0</v>
      </c>
      <c r="AV57" s="1">
        <f t="shared" si="53"/>
        <v>0</v>
      </c>
      <c r="AW57" s="1">
        <f t="shared" si="54"/>
        <v>0</v>
      </c>
      <c r="AX57" s="1">
        <f t="shared" si="55"/>
        <v>0</v>
      </c>
      <c r="AY57" s="23">
        <f t="shared" si="56"/>
        <v>1</v>
      </c>
      <c r="AZ57" s="23">
        <f t="shared" si="57"/>
        <v>1.4412777264325323</v>
      </c>
      <c r="BA57" s="23">
        <f t="shared" si="58"/>
        <v>54.768553604436228</v>
      </c>
      <c r="BB57" s="23">
        <f t="shared" si="59"/>
        <v>136.92138401109057</v>
      </c>
      <c r="BC57" s="23">
        <f t="shared" si="60"/>
        <v>68.460692005545283</v>
      </c>
      <c r="BD57" s="23">
        <f t="shared" si="61"/>
        <v>205.38207601663584</v>
      </c>
    </row>
    <row r="58" spans="1:56">
      <c r="A58" s="1" t="s">
        <v>20</v>
      </c>
      <c r="B58" s="1" t="s">
        <v>40</v>
      </c>
      <c r="C58" s="1" t="s">
        <v>22</v>
      </c>
      <c r="D58" s="1" t="s">
        <v>41</v>
      </c>
      <c r="E58" s="51" t="s">
        <v>107</v>
      </c>
      <c r="F58" s="51" t="s">
        <v>108</v>
      </c>
      <c r="G58" s="51" t="s">
        <v>109</v>
      </c>
      <c r="H58" s="1" t="s">
        <v>642</v>
      </c>
      <c r="I58" s="1" t="s">
        <v>147</v>
      </c>
      <c r="J58" s="51" t="s">
        <v>148</v>
      </c>
      <c r="K58" s="51" t="s">
        <v>148</v>
      </c>
      <c r="L58" s="51" t="s">
        <v>112</v>
      </c>
      <c r="M58" s="1">
        <v>2161278</v>
      </c>
      <c r="N58" s="52" t="s">
        <v>775</v>
      </c>
      <c r="O58" s="55">
        <f>DATE(2016,8,8)</f>
        <v>42590</v>
      </c>
      <c r="P58" s="55">
        <f>DATE(2019,11,30)</f>
        <v>43799</v>
      </c>
      <c r="Q58" s="1">
        <v>4709</v>
      </c>
      <c r="S58" s="51">
        <v>2.5</v>
      </c>
      <c r="U58" s="1">
        <f t="shared" si="32"/>
        <v>1210</v>
      </c>
      <c r="V58" s="31">
        <f t="shared" si="33"/>
        <v>3.8917355371900828</v>
      </c>
      <c r="W58" s="31">
        <f t="shared" si="34"/>
        <v>1420.4834710743803</v>
      </c>
      <c r="X58" s="31">
        <f t="shared" si="35"/>
        <v>1.7756043388429754</v>
      </c>
      <c r="AA58" s="32">
        <f t="shared" si="36"/>
        <v>42552</v>
      </c>
      <c r="AB58" s="32">
        <f t="shared" si="37"/>
        <v>42735</v>
      </c>
      <c r="AC58" s="52">
        <v>46</v>
      </c>
      <c r="AD58" s="1">
        <f t="shared" si="38"/>
        <v>0</v>
      </c>
      <c r="AE58" s="1">
        <f t="shared" si="39"/>
        <v>146</v>
      </c>
      <c r="AF58" s="1">
        <f t="shared" si="40"/>
        <v>0</v>
      </c>
      <c r="AG58" s="1">
        <f t="shared" si="41"/>
        <v>0</v>
      </c>
      <c r="AH58" s="1">
        <f t="shared" si="42"/>
        <v>0</v>
      </c>
      <c r="AI58" s="23">
        <f t="shared" si="43"/>
        <v>0.79347826086956519</v>
      </c>
      <c r="AJ58" s="23">
        <f t="shared" si="44"/>
        <v>1.4089034427775782</v>
      </c>
      <c r="AK58" s="23">
        <f t="shared" si="45"/>
        <v>64.809558367768602</v>
      </c>
      <c r="AL58" s="23">
        <f t="shared" si="46"/>
        <v>162.02389591942151</v>
      </c>
      <c r="AM58" s="23">
        <f t="shared" si="47"/>
        <v>81.011947959710753</v>
      </c>
      <c r="AN58" s="23">
        <f t="shared" si="48"/>
        <v>243.03584387913224</v>
      </c>
      <c r="AQ58" s="32">
        <f t="shared" si="49"/>
        <v>42736</v>
      </c>
      <c r="AR58" s="32">
        <f t="shared" si="50"/>
        <v>42916</v>
      </c>
      <c r="AS58" s="52">
        <v>43</v>
      </c>
      <c r="AT58" s="1">
        <f t="shared" si="51"/>
        <v>181</v>
      </c>
      <c r="AU58" s="1">
        <f t="shared" si="52"/>
        <v>0</v>
      </c>
      <c r="AV58" s="1">
        <f t="shared" si="53"/>
        <v>0</v>
      </c>
      <c r="AW58" s="1">
        <f t="shared" si="54"/>
        <v>0</v>
      </c>
      <c r="AX58" s="1">
        <f t="shared" si="55"/>
        <v>0</v>
      </c>
      <c r="AY58" s="23">
        <f t="shared" si="56"/>
        <v>1</v>
      </c>
      <c r="AZ58" s="23">
        <f t="shared" si="57"/>
        <v>1.7756043388429754</v>
      </c>
      <c r="BA58" s="23">
        <f t="shared" si="58"/>
        <v>76.35098657024794</v>
      </c>
      <c r="BB58" s="23">
        <f t="shared" si="59"/>
        <v>190.87746642561984</v>
      </c>
      <c r="BC58" s="23">
        <f t="shared" si="60"/>
        <v>95.438733212809922</v>
      </c>
      <c r="BD58" s="23">
        <f t="shared" si="61"/>
        <v>286.31619963842979</v>
      </c>
    </row>
    <row r="59" spans="1:56">
      <c r="A59" s="1" t="s">
        <v>20</v>
      </c>
      <c r="B59" s="1" t="s">
        <v>40</v>
      </c>
      <c r="C59" s="1" t="s">
        <v>22</v>
      </c>
      <c r="D59" s="1" t="s">
        <v>41</v>
      </c>
      <c r="E59" s="51" t="s">
        <v>107</v>
      </c>
      <c r="F59" s="51" t="s">
        <v>556</v>
      </c>
      <c r="G59" s="51" t="s">
        <v>109</v>
      </c>
      <c r="H59" s="1" t="s">
        <v>729</v>
      </c>
      <c r="I59" s="1" t="s">
        <v>234</v>
      </c>
      <c r="J59" s="51" t="s">
        <v>112</v>
      </c>
      <c r="K59" s="51" t="s">
        <v>112</v>
      </c>
      <c r="L59" s="51" t="s">
        <v>112</v>
      </c>
      <c r="M59" s="1">
        <v>2167590</v>
      </c>
      <c r="N59" s="52" t="s">
        <v>776</v>
      </c>
      <c r="O59" s="55">
        <f>DATE(2016,2,15)</f>
        <v>42415</v>
      </c>
      <c r="P59" s="55">
        <f>DATE(2018,2,15)</f>
        <v>43146</v>
      </c>
      <c r="Q59" s="1">
        <v>640</v>
      </c>
      <c r="S59" s="51">
        <v>3.75</v>
      </c>
      <c r="U59" s="1">
        <f t="shared" si="32"/>
        <v>732</v>
      </c>
      <c r="V59" s="31">
        <f t="shared" si="33"/>
        <v>0.87431693989071035</v>
      </c>
      <c r="W59" s="31">
        <f t="shared" si="34"/>
        <v>319.12568306010928</v>
      </c>
      <c r="X59" s="31">
        <f t="shared" si="35"/>
        <v>0.39890710382513661</v>
      </c>
      <c r="AA59" s="32">
        <f t="shared" si="36"/>
        <v>42552</v>
      </c>
      <c r="AB59" s="32">
        <f t="shared" si="37"/>
        <v>42735</v>
      </c>
      <c r="AC59" s="52">
        <v>20</v>
      </c>
      <c r="AD59" s="1">
        <f t="shared" si="38"/>
        <v>184</v>
      </c>
      <c r="AE59" s="1">
        <f t="shared" si="39"/>
        <v>0</v>
      </c>
      <c r="AF59" s="1">
        <f t="shared" si="40"/>
        <v>0</v>
      </c>
      <c r="AG59" s="1">
        <f t="shared" si="41"/>
        <v>0</v>
      </c>
      <c r="AH59" s="1">
        <f t="shared" si="42"/>
        <v>0</v>
      </c>
      <c r="AI59" s="23">
        <f t="shared" si="43"/>
        <v>1</v>
      </c>
      <c r="AJ59" s="23">
        <f t="shared" si="44"/>
        <v>0.39890710382513661</v>
      </c>
      <c r="AK59" s="23">
        <f t="shared" si="45"/>
        <v>7.9781420765027322</v>
      </c>
      <c r="AL59" s="23">
        <f t="shared" si="46"/>
        <v>29.918032786885245</v>
      </c>
      <c r="AM59" s="23">
        <f t="shared" si="47"/>
        <v>0</v>
      </c>
      <c r="AN59" s="23">
        <f t="shared" si="48"/>
        <v>29.918032786885245</v>
      </c>
      <c r="AQ59" s="32">
        <f t="shared" si="49"/>
        <v>42736</v>
      </c>
      <c r="AR59" s="32">
        <f t="shared" si="50"/>
        <v>42916</v>
      </c>
      <c r="AS59" s="52">
        <v>20</v>
      </c>
      <c r="AT59" s="1">
        <f t="shared" si="51"/>
        <v>181</v>
      </c>
      <c r="AU59" s="1">
        <f t="shared" si="52"/>
        <v>0</v>
      </c>
      <c r="AV59" s="1">
        <f t="shared" si="53"/>
        <v>0</v>
      </c>
      <c r="AW59" s="1">
        <f t="shared" si="54"/>
        <v>0</v>
      </c>
      <c r="AX59" s="1">
        <f t="shared" si="55"/>
        <v>0</v>
      </c>
      <c r="AY59" s="23">
        <f t="shared" si="56"/>
        <v>1</v>
      </c>
      <c r="AZ59" s="23">
        <f t="shared" si="57"/>
        <v>0.39890710382513661</v>
      </c>
      <c r="BA59" s="23">
        <f t="shared" si="58"/>
        <v>7.9781420765027322</v>
      </c>
      <c r="BB59" s="23">
        <f t="shared" si="59"/>
        <v>29.918032786885245</v>
      </c>
      <c r="BC59" s="23">
        <f t="shared" si="60"/>
        <v>0</v>
      </c>
      <c r="BD59" s="23">
        <f t="shared" si="61"/>
        <v>29.918032786885245</v>
      </c>
    </row>
    <row r="60" spans="1:56">
      <c r="A60" s="1" t="s">
        <v>20</v>
      </c>
      <c r="B60" s="1" t="s">
        <v>40</v>
      </c>
      <c r="C60" s="1" t="s">
        <v>22</v>
      </c>
      <c r="D60" s="1" t="s">
        <v>41</v>
      </c>
      <c r="E60" s="51" t="s">
        <v>107</v>
      </c>
      <c r="F60" s="51" t="s">
        <v>556</v>
      </c>
      <c r="G60" s="51" t="s">
        <v>109</v>
      </c>
      <c r="H60" s="1" t="s">
        <v>729</v>
      </c>
      <c r="I60" s="1" t="s">
        <v>234</v>
      </c>
      <c r="J60" s="51" t="s">
        <v>112</v>
      </c>
      <c r="K60" s="51" t="s">
        <v>112</v>
      </c>
      <c r="L60" s="51" t="s">
        <v>112</v>
      </c>
      <c r="M60" s="1">
        <v>2167615</v>
      </c>
      <c r="N60" s="52" t="s">
        <v>777</v>
      </c>
      <c r="O60" s="55">
        <f>DATE(2017,3,6)</f>
        <v>42800</v>
      </c>
      <c r="P60" s="55">
        <f>DATE(2019,3,6)</f>
        <v>43530</v>
      </c>
      <c r="Q60" s="1">
        <v>640</v>
      </c>
      <c r="S60" s="51">
        <v>3.75</v>
      </c>
      <c r="U60" s="1">
        <f t="shared" si="32"/>
        <v>731</v>
      </c>
      <c r="V60" s="31">
        <f t="shared" si="33"/>
        <v>0.87551299589603282</v>
      </c>
      <c r="W60" s="31">
        <f t="shared" si="34"/>
        <v>319.56224350205196</v>
      </c>
      <c r="X60" s="31">
        <f t="shared" si="35"/>
        <v>0.39945280437756492</v>
      </c>
      <c r="AA60" s="32">
        <f t="shared" si="36"/>
        <v>42552</v>
      </c>
      <c r="AB60" s="32">
        <f t="shared" si="37"/>
        <v>42735</v>
      </c>
      <c r="AC60" s="1">
        <v>0</v>
      </c>
      <c r="AD60" s="1">
        <f t="shared" si="38"/>
        <v>0</v>
      </c>
      <c r="AE60" s="1">
        <f t="shared" si="39"/>
        <v>0</v>
      </c>
      <c r="AF60" s="1">
        <f t="shared" si="40"/>
        <v>0</v>
      </c>
      <c r="AG60" s="1">
        <f t="shared" si="41"/>
        <v>0</v>
      </c>
      <c r="AH60" s="1">
        <f t="shared" si="42"/>
        <v>0</v>
      </c>
      <c r="AI60" s="23">
        <f t="shared" si="43"/>
        <v>0</v>
      </c>
      <c r="AJ60" s="23">
        <f t="shared" si="44"/>
        <v>0</v>
      </c>
      <c r="AK60" s="23">
        <f t="shared" si="45"/>
        <v>0</v>
      </c>
      <c r="AL60" s="23">
        <f t="shared" si="46"/>
        <v>0</v>
      </c>
      <c r="AM60" s="23">
        <f t="shared" si="47"/>
        <v>0</v>
      </c>
      <c r="AN60" s="23">
        <f t="shared" si="48"/>
        <v>0</v>
      </c>
      <c r="AQ60" s="32">
        <f t="shared" si="49"/>
        <v>42736</v>
      </c>
      <c r="AR60" s="32">
        <f t="shared" si="50"/>
        <v>42916</v>
      </c>
      <c r="AS60" s="52">
        <v>24</v>
      </c>
      <c r="AT60" s="1">
        <f t="shared" si="51"/>
        <v>0</v>
      </c>
      <c r="AU60" s="1">
        <f t="shared" si="52"/>
        <v>117</v>
      </c>
      <c r="AV60" s="1">
        <f t="shared" si="53"/>
        <v>0</v>
      </c>
      <c r="AW60" s="1">
        <f t="shared" si="54"/>
        <v>0</v>
      </c>
      <c r="AX60" s="1">
        <f t="shared" si="55"/>
        <v>0</v>
      </c>
      <c r="AY60" s="23">
        <f t="shared" si="56"/>
        <v>0.64640883977900554</v>
      </c>
      <c r="AZ60" s="23">
        <f t="shared" si="57"/>
        <v>0.25820982382417179</v>
      </c>
      <c r="BA60" s="23">
        <f t="shared" si="58"/>
        <v>6.197035771780123</v>
      </c>
      <c r="BB60" s="23">
        <f t="shared" si="59"/>
        <v>23.238884144175461</v>
      </c>
      <c r="BC60" s="23">
        <f t="shared" si="60"/>
        <v>0</v>
      </c>
      <c r="BD60" s="23">
        <f t="shared" si="61"/>
        <v>23.238884144175461</v>
      </c>
    </row>
    <row r="61" spans="1:56">
      <c r="E61" s="51"/>
      <c r="F61" s="51"/>
      <c r="G61" s="51"/>
    </row>
    <row r="62" spans="1:56">
      <c r="E62" s="51"/>
      <c r="F62" s="51"/>
      <c r="G62" s="51"/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50"/>
  <sheetViews>
    <sheetView topLeftCell="I20" workbookViewId="0">
      <selection activeCell="R50" sqref="R50"/>
    </sheetView>
  </sheetViews>
  <sheetFormatPr defaultRowHeight="15"/>
  <cols>
    <col min="1" max="1" width="4" style="1" customWidth="1"/>
    <col min="2" max="2" width="26.5703125" style="1" customWidth="1"/>
    <col min="3" max="3" width="7.7109375" style="1" customWidth="1"/>
    <col min="4" max="4" width="37.85546875" style="1" customWidth="1"/>
    <col min="5" max="5" width="21" style="1" customWidth="1"/>
    <col min="6" max="6" width="15.28515625" style="1" customWidth="1"/>
    <col min="7" max="7" width="11" style="1" customWidth="1"/>
    <col min="8" max="8" width="38.28515625" style="1" customWidth="1"/>
    <col min="9" max="9" width="30.7109375" style="1" customWidth="1"/>
    <col min="10" max="13" width="15.7109375" style="1" customWidth="1"/>
    <col min="14" max="14" width="69.28515625" style="1" customWidth="1"/>
    <col min="15" max="15" width="12.5703125" style="32" customWidth="1"/>
    <col min="16" max="16" width="13" style="32" customWidth="1"/>
    <col min="17" max="17" width="9.5703125" style="1" customWidth="1"/>
    <col min="18" max="18" width="6.42578125" style="1" customWidth="1"/>
    <col min="19" max="19" width="9.28515625" style="1" customWidth="1"/>
    <col min="20" max="20" width="2.7109375" style="1" customWidth="1"/>
    <col min="21" max="21" width="10" style="1" customWidth="1"/>
    <col min="22" max="22" width="8.7109375" style="31" customWidth="1"/>
    <col min="23" max="23" width="10.5703125" style="31" customWidth="1"/>
    <col min="24" max="24" width="9.42578125" style="31" customWidth="1"/>
    <col min="25" max="25" width="2.5703125" style="31" customWidth="1"/>
    <col min="26" max="26" width="9.42578125" style="31" customWidth="1"/>
    <col min="27" max="27" width="11.7109375" style="32" customWidth="1"/>
    <col min="28" max="28" width="11.5703125" style="32" customWidth="1"/>
    <col min="29" max="29" width="9.5703125" style="1" customWidth="1"/>
    <col min="30" max="30" width="7.85546875" style="1" customWidth="1"/>
    <col min="31" max="31" width="7.42578125" style="1" customWidth="1"/>
    <col min="32" max="32" width="8.28515625" style="1" customWidth="1"/>
    <col min="33" max="33" width="8.140625" style="1" customWidth="1"/>
    <col min="34" max="34" width="8.85546875" style="1" customWidth="1"/>
    <col min="35" max="35" width="10" style="23" customWidth="1"/>
    <col min="36" max="36" width="10.85546875" style="23" customWidth="1"/>
    <col min="37" max="37" width="11" style="23" customWidth="1"/>
    <col min="38" max="38" width="10.28515625" style="23" customWidth="1"/>
    <col min="39" max="39" width="10.42578125" style="23" customWidth="1"/>
    <col min="40" max="40" width="10.85546875" style="23" customWidth="1"/>
    <col min="41" max="41" width="3.140625" style="23" customWidth="1"/>
    <col min="42" max="42" width="9.5703125" style="23" customWidth="1"/>
    <col min="43" max="43" width="11.85546875" style="32" customWidth="1"/>
    <col min="44" max="44" width="12.42578125" style="32" customWidth="1"/>
    <col min="45" max="45" width="7.2851562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42</v>
      </c>
      <c r="C4" s="1" t="s">
        <v>22</v>
      </c>
      <c r="D4" s="1" t="s">
        <v>43</v>
      </c>
      <c r="E4" s="51" t="s">
        <v>107</v>
      </c>
      <c r="F4" s="51" t="s">
        <v>294</v>
      </c>
      <c r="G4" s="51" t="s">
        <v>109</v>
      </c>
      <c r="H4" s="1" t="s">
        <v>778</v>
      </c>
      <c r="I4" s="1" t="s">
        <v>234</v>
      </c>
      <c r="J4" s="51" t="s">
        <v>112</v>
      </c>
      <c r="K4" s="51" t="s">
        <v>112</v>
      </c>
      <c r="L4" s="51" t="s">
        <v>112</v>
      </c>
      <c r="M4" s="1">
        <v>805432</v>
      </c>
      <c r="N4" s="56" t="s">
        <v>779</v>
      </c>
      <c r="O4" s="55">
        <f>DATE(2011,2,7)</f>
        <v>40581</v>
      </c>
      <c r="P4" s="55">
        <f>DATE(2013,12,31)</f>
        <v>41639</v>
      </c>
      <c r="Q4" s="51">
        <v>1890</v>
      </c>
      <c r="S4" s="51">
        <v>1</v>
      </c>
      <c r="U4" s="1">
        <f t="shared" ref="U4:U50" si="0">P4-O4+1</f>
        <v>1059</v>
      </c>
      <c r="V4" s="31">
        <f t="shared" ref="V4:V50" si="1">Q4/U4</f>
        <v>1.7847025495750708</v>
      </c>
      <c r="W4" s="31">
        <f t="shared" ref="W4:W50" si="2">IF(U4&gt;365,V4*365,Q4)</f>
        <v>651.41643059490082</v>
      </c>
      <c r="X4" s="31">
        <f t="shared" ref="X4:X50" si="3">IF(U4&gt;365,W4/800,Q4/800)</f>
        <v>0.81427053824362605</v>
      </c>
      <c r="AA4" s="32">
        <f t="shared" ref="AA4:AA50" si="4">DATE(2016,7,1)</f>
        <v>42552</v>
      </c>
      <c r="AB4" s="32">
        <f t="shared" ref="AB4:AB50" si="5">DATE(2016,12,31)</f>
        <v>42735</v>
      </c>
      <c r="AC4" s="50">
        <v>2</v>
      </c>
      <c r="AD4" s="1">
        <f t="shared" ref="AD4:AD50" si="6">IF(AND(O4&lt;AA4,P4&gt;AB4),AB4-AA4+1,0)</f>
        <v>0</v>
      </c>
      <c r="AE4" s="1">
        <f t="shared" ref="AE4:AE50" si="7">IF(AND(O4&gt;=AA4,P4&gt;AB4,O4&lt;AB4),AB4-O4+1,0)</f>
        <v>0</v>
      </c>
      <c r="AF4" s="1">
        <f t="shared" ref="AF4:AF50" si="8">IF(AND(O4&lt;AA4,P4&lt;=AB4,P4&gt;=AA4),P4-AA4+1,0)</f>
        <v>0</v>
      </c>
      <c r="AG4" s="1">
        <f t="shared" ref="AG4:AG50" si="9">IF(AND(O4&gt;=AA4,P4&lt;=AB4),P4-O4+1,0)</f>
        <v>0</v>
      </c>
      <c r="AH4" s="1">
        <f t="shared" ref="AH4:AH50" si="10">IF(AND(O4&lt;AA4,P4&lt;AA4),(AB4-AA4+1)/2,0)</f>
        <v>92</v>
      </c>
      <c r="AI4" s="23">
        <f t="shared" ref="AI4:AI50" si="11">SUM(AD4:AH4)/(AB4-AA4+1)</f>
        <v>0.5</v>
      </c>
      <c r="AJ4" s="23">
        <f t="shared" ref="AJ4:AJ50" si="12">X4*AI4</f>
        <v>0.40713526912181303</v>
      </c>
      <c r="AK4" s="23">
        <f t="shared" ref="AK4:AK50" si="13">IF(AH4=0,AJ4*AC4,IF(AA4-P4&gt;1095,0,AJ4*(AC4/2)))</f>
        <v>0.40713526912181303</v>
      </c>
      <c r="AL4" s="23">
        <f t="shared" ref="AL4:AL50" si="14">AK4*S4</f>
        <v>0.40713526912181303</v>
      </c>
      <c r="AM4" s="23">
        <f t="shared" ref="AM4:AM50" si="15">IF(J4="SIM",AL4*50%,0)</f>
        <v>0</v>
      </c>
      <c r="AN4" s="23">
        <f t="shared" ref="AN4:AN50" si="16">AL4+AM4</f>
        <v>0.40713526912181303</v>
      </c>
      <c r="AQ4" s="32">
        <f t="shared" ref="AQ4:AQ50" si="17">DATE(2017,1,1)</f>
        <v>42736</v>
      </c>
      <c r="AR4" s="32">
        <f t="shared" ref="AR4:AR50" si="18">DATE(2017,6,30)</f>
        <v>42916</v>
      </c>
      <c r="AS4" s="56">
        <v>0</v>
      </c>
      <c r="AT4" s="1">
        <f t="shared" ref="AT4:AT50" si="19">IF(AND(O4&lt;AQ4,P4&gt;AR4),AR4-AQ4+1,0)</f>
        <v>0</v>
      </c>
      <c r="AU4" s="1">
        <f t="shared" ref="AU4:AU50" si="20">IF(AND(O4&gt;=AQ4,P4&gt;AR4,O4&lt;AR4),AR4-O4+1,0)</f>
        <v>0</v>
      </c>
      <c r="AV4" s="1">
        <f t="shared" ref="AV4:AV50" si="21">IF(AND(O4&lt;AQ4,P4&lt;=AR4,P4&gt;=AQ4),P4-AQ4+1,0)</f>
        <v>0</v>
      </c>
      <c r="AW4" s="1">
        <f t="shared" ref="AW4:AW50" si="22">IF(AND(O4&gt;=AQ4,P4&lt;=AR4),P4-O4+1,0)</f>
        <v>0</v>
      </c>
      <c r="AX4" s="1">
        <f t="shared" ref="AX4:AX50" si="23">IF(AND(O4&lt;AQ4,P4&lt;AQ4),(AR4-AQ4+1)/2,0)</f>
        <v>90.5</v>
      </c>
      <c r="AY4" s="23">
        <f t="shared" ref="AY4:AY50" si="24">SUM(AT4:AX4)/(AR4-AQ4+1)</f>
        <v>0.5</v>
      </c>
      <c r="AZ4" s="23">
        <f t="shared" ref="AZ4:AZ50" si="25">X4*AY4</f>
        <v>0.40713526912181303</v>
      </c>
      <c r="BA4" s="23">
        <f t="shared" ref="BA4:BA50" si="26">IF(AX4=0,AZ4*AS4,IF(AQ4-P4&gt;1095,0,AZ4*(AS4/2)))</f>
        <v>0</v>
      </c>
      <c r="BB4" s="23">
        <f t="shared" ref="BB4:BB50" si="27">BA4*S4</f>
        <v>0</v>
      </c>
      <c r="BC4" s="23">
        <f t="shared" ref="BC4:BC50" si="28">IF(J4="SIM",BB4*50%,0)</f>
        <v>0</v>
      </c>
      <c r="BD4" s="23">
        <f t="shared" ref="BD4:BD50" si="29">BB4+BC4</f>
        <v>0</v>
      </c>
    </row>
    <row r="5" spans="1:57">
      <c r="A5" s="1" t="s">
        <v>20</v>
      </c>
      <c r="B5" s="1" t="s">
        <v>42</v>
      </c>
      <c r="C5" s="1" t="s">
        <v>22</v>
      </c>
      <c r="D5" s="1" t="s">
        <v>43</v>
      </c>
      <c r="E5" s="51" t="s">
        <v>107</v>
      </c>
      <c r="F5" s="51" t="s">
        <v>108</v>
      </c>
      <c r="G5" s="51" t="s">
        <v>109</v>
      </c>
      <c r="H5" s="1" t="s">
        <v>642</v>
      </c>
      <c r="I5" s="1" t="s">
        <v>147</v>
      </c>
      <c r="J5" s="51" t="s">
        <v>148</v>
      </c>
      <c r="K5" s="51" t="s">
        <v>112</v>
      </c>
      <c r="L5" s="51" t="s">
        <v>112</v>
      </c>
      <c r="M5" s="1">
        <v>1208150</v>
      </c>
      <c r="N5" s="56" t="s">
        <v>780</v>
      </c>
      <c r="O5" s="55">
        <f>DATE(2012,2,1)</f>
        <v>40940</v>
      </c>
      <c r="P5" s="55">
        <f>DATE(2013,7,31)</f>
        <v>41486</v>
      </c>
      <c r="Q5" s="51">
        <v>1200</v>
      </c>
      <c r="S5" s="51">
        <v>2.5</v>
      </c>
      <c r="U5" s="1">
        <f t="shared" si="0"/>
        <v>547</v>
      </c>
      <c r="V5" s="31">
        <f t="shared" si="1"/>
        <v>2.1937842778793417</v>
      </c>
      <c r="W5" s="31">
        <f t="shared" si="2"/>
        <v>800.7312614259597</v>
      </c>
      <c r="X5" s="31">
        <f t="shared" si="3"/>
        <v>1.0009140767824496</v>
      </c>
      <c r="AA5" s="32">
        <f t="shared" si="4"/>
        <v>42552</v>
      </c>
      <c r="AB5" s="32">
        <f t="shared" si="5"/>
        <v>42735</v>
      </c>
      <c r="AC5" s="50">
        <v>1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0.5004570383912248</v>
      </c>
      <c r="AK5" s="23">
        <f t="shared" si="13"/>
        <v>0.2502285191956124</v>
      </c>
      <c r="AL5" s="23">
        <f t="shared" si="14"/>
        <v>0.62557129798903099</v>
      </c>
      <c r="AM5" s="23">
        <f t="shared" si="15"/>
        <v>0.3127856489945155</v>
      </c>
      <c r="AN5" s="23">
        <f t="shared" si="16"/>
        <v>0.93835694698354644</v>
      </c>
      <c r="AQ5" s="32">
        <f t="shared" si="17"/>
        <v>42736</v>
      </c>
      <c r="AR5" s="32">
        <f t="shared" si="18"/>
        <v>42916</v>
      </c>
      <c r="AS5" s="56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0.5004570383912248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42</v>
      </c>
      <c r="C6" s="1" t="s">
        <v>22</v>
      </c>
      <c r="D6" s="1" t="s">
        <v>43</v>
      </c>
      <c r="E6" s="51" t="s">
        <v>107</v>
      </c>
      <c r="F6" s="51" t="s">
        <v>108</v>
      </c>
      <c r="G6" s="51" t="s">
        <v>109</v>
      </c>
      <c r="H6" s="1" t="s">
        <v>285</v>
      </c>
      <c r="I6" s="1" t="s">
        <v>125</v>
      </c>
      <c r="J6" s="51" t="s">
        <v>112</v>
      </c>
      <c r="K6" s="51" t="s">
        <v>112</v>
      </c>
      <c r="L6" s="51" t="s">
        <v>112</v>
      </c>
      <c r="M6" s="1">
        <v>1208151</v>
      </c>
      <c r="N6" s="56" t="s">
        <v>781</v>
      </c>
      <c r="O6" s="55">
        <f>DATE(2012,3,19)</f>
        <v>40987</v>
      </c>
      <c r="P6" s="55">
        <f>DATE(2013,12,31)</f>
        <v>41639</v>
      </c>
      <c r="Q6" s="51">
        <v>1000</v>
      </c>
      <c r="S6" s="51">
        <v>2.5</v>
      </c>
      <c r="U6" s="1">
        <f t="shared" si="0"/>
        <v>653</v>
      </c>
      <c r="V6" s="31">
        <f t="shared" si="1"/>
        <v>1.5313935681470139</v>
      </c>
      <c r="W6" s="31">
        <f t="shared" si="2"/>
        <v>558.95865237366002</v>
      </c>
      <c r="X6" s="31">
        <f t="shared" si="3"/>
        <v>0.69869831546707506</v>
      </c>
      <c r="AA6" s="32">
        <f t="shared" si="4"/>
        <v>42552</v>
      </c>
      <c r="AB6" s="32">
        <f t="shared" si="5"/>
        <v>42735</v>
      </c>
      <c r="AC6" s="50">
        <v>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0.34934915773353753</v>
      </c>
      <c r="AK6" s="23">
        <f t="shared" si="13"/>
        <v>0.17467457886676876</v>
      </c>
      <c r="AL6" s="23">
        <f t="shared" si="14"/>
        <v>0.4366864471669219</v>
      </c>
      <c r="AM6" s="23">
        <f t="shared" si="15"/>
        <v>0</v>
      </c>
      <c r="AN6" s="23">
        <f t="shared" si="16"/>
        <v>0.4366864471669219</v>
      </c>
      <c r="AQ6" s="32">
        <f t="shared" si="17"/>
        <v>42736</v>
      </c>
      <c r="AR6" s="32">
        <f t="shared" si="18"/>
        <v>42916</v>
      </c>
      <c r="AS6" s="56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0.34934915773353753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42</v>
      </c>
      <c r="C7" s="1" t="s">
        <v>22</v>
      </c>
      <c r="D7" s="1" t="s">
        <v>43</v>
      </c>
      <c r="E7" s="51" t="s">
        <v>107</v>
      </c>
      <c r="F7" s="51" t="s">
        <v>265</v>
      </c>
      <c r="G7" s="51" t="s">
        <v>109</v>
      </c>
      <c r="H7" s="1" t="s">
        <v>716</v>
      </c>
      <c r="I7" s="1" t="s">
        <v>147</v>
      </c>
      <c r="J7" s="51" t="s">
        <v>148</v>
      </c>
      <c r="K7" s="51" t="s">
        <v>112</v>
      </c>
      <c r="L7" s="51" t="s">
        <v>112</v>
      </c>
      <c r="M7" s="1">
        <v>1234144</v>
      </c>
      <c r="N7" s="50" t="s">
        <v>782</v>
      </c>
      <c r="O7" s="55">
        <f>DATE(2012,3,1)</f>
        <v>40969</v>
      </c>
      <c r="P7" s="55">
        <f>DATE(2016,12,31)</f>
        <v>42735</v>
      </c>
      <c r="Q7" s="51">
        <v>3600</v>
      </c>
      <c r="S7" s="51">
        <v>2.5</v>
      </c>
      <c r="U7" s="1">
        <f t="shared" si="0"/>
        <v>1767</v>
      </c>
      <c r="V7" s="31">
        <f t="shared" si="1"/>
        <v>2.037351443123939</v>
      </c>
      <c r="W7" s="31">
        <f t="shared" si="2"/>
        <v>743.63327674023776</v>
      </c>
      <c r="X7" s="31">
        <f t="shared" si="3"/>
        <v>0.92954159592529717</v>
      </c>
      <c r="AA7" s="32">
        <f t="shared" si="4"/>
        <v>42552</v>
      </c>
      <c r="AB7" s="32">
        <f t="shared" si="5"/>
        <v>42735</v>
      </c>
      <c r="AC7" s="50">
        <v>28</v>
      </c>
      <c r="AD7" s="1">
        <f t="shared" si="6"/>
        <v>0</v>
      </c>
      <c r="AE7" s="1">
        <f t="shared" si="7"/>
        <v>0</v>
      </c>
      <c r="AF7" s="1">
        <f t="shared" si="8"/>
        <v>184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0.92954159592529717</v>
      </c>
      <c r="AK7" s="23">
        <f t="shared" si="13"/>
        <v>26.027164685908321</v>
      </c>
      <c r="AL7" s="23">
        <f t="shared" si="14"/>
        <v>65.067911714770801</v>
      </c>
      <c r="AM7" s="23">
        <f t="shared" si="15"/>
        <v>32.533955857385401</v>
      </c>
      <c r="AN7" s="23">
        <f t="shared" si="16"/>
        <v>97.601867572156209</v>
      </c>
      <c r="AQ7" s="32">
        <f t="shared" si="17"/>
        <v>42736</v>
      </c>
      <c r="AR7" s="32">
        <f t="shared" si="18"/>
        <v>42916</v>
      </c>
      <c r="AS7" s="50">
        <v>28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0.46477079796264859</v>
      </c>
      <c r="BA7" s="23">
        <f t="shared" si="26"/>
        <v>6.5067911714770803</v>
      </c>
      <c r="BB7" s="23">
        <f t="shared" si="27"/>
        <v>16.2669779286927</v>
      </c>
      <c r="BC7" s="23">
        <f t="shared" si="28"/>
        <v>8.1334889643463502</v>
      </c>
      <c r="BD7" s="23">
        <f t="shared" si="29"/>
        <v>24.400466893039052</v>
      </c>
    </row>
    <row r="8" spans="1:57">
      <c r="A8" s="1" t="s">
        <v>20</v>
      </c>
      <c r="B8" s="1" t="s">
        <v>42</v>
      </c>
      <c r="C8" s="1" t="s">
        <v>22</v>
      </c>
      <c r="D8" s="1" t="s">
        <v>43</v>
      </c>
      <c r="E8" s="51" t="s">
        <v>107</v>
      </c>
      <c r="F8" s="51" t="s">
        <v>294</v>
      </c>
      <c r="G8" s="51" t="s">
        <v>109</v>
      </c>
      <c r="H8" s="1" t="s">
        <v>778</v>
      </c>
      <c r="I8" s="1" t="s">
        <v>234</v>
      </c>
      <c r="J8" s="51" t="s">
        <v>112</v>
      </c>
      <c r="K8" s="51" t="s">
        <v>112</v>
      </c>
      <c r="L8" s="51" t="s">
        <v>112</v>
      </c>
      <c r="M8" s="1">
        <v>1344523</v>
      </c>
      <c r="N8" s="56" t="s">
        <v>783</v>
      </c>
      <c r="O8" s="55">
        <f>DATE(2012,9,17)</f>
        <v>41169</v>
      </c>
      <c r="P8" s="55">
        <f>DATE(2015,7,31)</f>
        <v>42216</v>
      </c>
      <c r="Q8" s="51">
        <v>1930</v>
      </c>
      <c r="S8" s="51">
        <v>1</v>
      </c>
      <c r="U8" s="1">
        <f t="shared" si="0"/>
        <v>1048</v>
      </c>
      <c r="V8" s="31">
        <f t="shared" si="1"/>
        <v>1.8416030534351144</v>
      </c>
      <c r="W8" s="31">
        <f t="shared" si="2"/>
        <v>672.18511450381675</v>
      </c>
      <c r="X8" s="31">
        <f t="shared" si="3"/>
        <v>0.84023139312977091</v>
      </c>
      <c r="AA8" s="32">
        <f t="shared" si="4"/>
        <v>42552</v>
      </c>
      <c r="AB8" s="32">
        <f t="shared" si="5"/>
        <v>42735</v>
      </c>
      <c r="AC8" s="50">
        <v>12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0.42011569656488545</v>
      </c>
      <c r="AK8" s="23">
        <f t="shared" si="13"/>
        <v>2.5206941793893129</v>
      </c>
      <c r="AL8" s="23">
        <f t="shared" si="14"/>
        <v>2.5206941793893129</v>
      </c>
      <c r="AM8" s="23">
        <f t="shared" si="15"/>
        <v>0</v>
      </c>
      <c r="AN8" s="23">
        <f t="shared" si="16"/>
        <v>2.5206941793893129</v>
      </c>
      <c r="AQ8" s="32">
        <f t="shared" si="17"/>
        <v>42736</v>
      </c>
      <c r="AR8" s="32">
        <f t="shared" si="18"/>
        <v>42916</v>
      </c>
      <c r="AS8" s="56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0.42011569656488545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42</v>
      </c>
      <c r="C9" s="1" t="s">
        <v>22</v>
      </c>
      <c r="D9" s="1" t="s">
        <v>43</v>
      </c>
      <c r="E9" s="51" t="s">
        <v>107</v>
      </c>
      <c r="F9" s="51" t="s">
        <v>108</v>
      </c>
      <c r="G9" s="51" t="s">
        <v>109</v>
      </c>
      <c r="H9" s="1" t="s">
        <v>124</v>
      </c>
      <c r="I9" s="1" t="s">
        <v>125</v>
      </c>
      <c r="J9" s="51" t="s">
        <v>112</v>
      </c>
      <c r="K9" s="51" t="s">
        <v>112</v>
      </c>
      <c r="L9" s="51" t="s">
        <v>112</v>
      </c>
      <c r="M9" s="1">
        <v>1570901</v>
      </c>
      <c r="N9" s="56" t="s">
        <v>784</v>
      </c>
      <c r="O9" s="55">
        <f>DATE(2012,3,19)</f>
        <v>40987</v>
      </c>
      <c r="P9" s="55">
        <f>DATE(2013,12,30)</f>
        <v>41638</v>
      </c>
      <c r="Q9" s="51">
        <v>1200</v>
      </c>
      <c r="S9" s="51">
        <v>2.5</v>
      </c>
      <c r="U9" s="1">
        <f t="shared" si="0"/>
        <v>652</v>
      </c>
      <c r="V9" s="31">
        <f t="shared" si="1"/>
        <v>1.8404907975460123</v>
      </c>
      <c r="W9" s="31">
        <f t="shared" si="2"/>
        <v>671.77914110429447</v>
      </c>
      <c r="X9" s="31">
        <f t="shared" si="3"/>
        <v>0.83972392638036808</v>
      </c>
      <c r="AA9" s="32">
        <f t="shared" si="4"/>
        <v>42552</v>
      </c>
      <c r="AB9" s="32">
        <f t="shared" si="5"/>
        <v>42735</v>
      </c>
      <c r="AC9" s="50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0.41986196319018404</v>
      </c>
      <c r="AK9" s="23">
        <f t="shared" si="13"/>
        <v>0.41986196319018404</v>
      </c>
      <c r="AL9" s="23">
        <f t="shared" si="14"/>
        <v>1.04965490797546</v>
      </c>
      <c r="AM9" s="23">
        <f t="shared" si="15"/>
        <v>0</v>
      </c>
      <c r="AN9" s="23">
        <f t="shared" si="16"/>
        <v>1.04965490797546</v>
      </c>
      <c r="AQ9" s="32">
        <f t="shared" si="17"/>
        <v>42736</v>
      </c>
      <c r="AR9" s="32">
        <f t="shared" si="18"/>
        <v>42916</v>
      </c>
      <c r="AS9" s="56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0.41986196319018404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42</v>
      </c>
      <c r="C10" s="1" t="s">
        <v>22</v>
      </c>
      <c r="D10" s="1" t="s">
        <v>43</v>
      </c>
      <c r="E10" s="51" t="s">
        <v>107</v>
      </c>
      <c r="F10" s="51" t="s">
        <v>114</v>
      </c>
      <c r="G10" s="51" t="s">
        <v>109</v>
      </c>
      <c r="H10" s="1" t="s">
        <v>130</v>
      </c>
      <c r="I10" s="1" t="s">
        <v>131</v>
      </c>
      <c r="J10" s="51" t="s">
        <v>112</v>
      </c>
      <c r="K10" s="51" t="s">
        <v>112</v>
      </c>
      <c r="L10" s="51" t="s">
        <v>112</v>
      </c>
      <c r="M10" s="1">
        <v>1570906</v>
      </c>
      <c r="N10" s="50" t="s">
        <v>785</v>
      </c>
      <c r="O10" s="55">
        <f>DATE(2012,1,1)</f>
        <v>40909</v>
      </c>
      <c r="P10" s="55">
        <f>DATE(2015,12,31)</f>
        <v>42369</v>
      </c>
      <c r="Q10" s="51">
        <v>2920</v>
      </c>
      <c r="S10" s="51">
        <v>2.5</v>
      </c>
      <c r="U10" s="1">
        <f t="shared" si="0"/>
        <v>1461</v>
      </c>
      <c r="V10" s="31">
        <f t="shared" si="1"/>
        <v>1.998631074606434</v>
      </c>
      <c r="W10" s="31">
        <f t="shared" si="2"/>
        <v>729.50034223134844</v>
      </c>
      <c r="X10" s="31">
        <f t="shared" si="3"/>
        <v>0.91187542778918551</v>
      </c>
      <c r="AA10" s="32">
        <f t="shared" si="4"/>
        <v>42552</v>
      </c>
      <c r="AB10" s="32">
        <f t="shared" si="5"/>
        <v>42735</v>
      </c>
      <c r="AC10" s="50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0.45593771389459276</v>
      </c>
      <c r="AK10" s="23">
        <f t="shared" si="13"/>
        <v>0.45593771389459276</v>
      </c>
      <c r="AL10" s="23">
        <f t="shared" si="14"/>
        <v>1.1398442847364818</v>
      </c>
      <c r="AM10" s="23">
        <f t="shared" si="15"/>
        <v>0</v>
      </c>
      <c r="AN10" s="23">
        <f t="shared" si="16"/>
        <v>1.1398442847364818</v>
      </c>
      <c r="AQ10" s="32">
        <f t="shared" si="17"/>
        <v>42736</v>
      </c>
      <c r="AR10" s="32">
        <f t="shared" si="18"/>
        <v>42916</v>
      </c>
      <c r="AS10" s="50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0.45593771389459276</v>
      </c>
      <c r="BA10" s="23">
        <f t="shared" si="26"/>
        <v>0.22796885694729638</v>
      </c>
      <c r="BB10" s="23">
        <f t="shared" si="27"/>
        <v>0.5699221423682409</v>
      </c>
      <c r="BC10" s="23">
        <f t="shared" si="28"/>
        <v>0</v>
      </c>
      <c r="BD10" s="23">
        <f t="shared" si="29"/>
        <v>0.5699221423682409</v>
      </c>
    </row>
    <row r="11" spans="1:57">
      <c r="A11" s="1" t="s">
        <v>20</v>
      </c>
      <c r="B11" s="1" t="s">
        <v>42</v>
      </c>
      <c r="C11" s="1" t="s">
        <v>22</v>
      </c>
      <c r="D11" s="1" t="s">
        <v>43</v>
      </c>
      <c r="E11" s="51" t="s">
        <v>107</v>
      </c>
      <c r="F11" s="51" t="s">
        <v>265</v>
      </c>
      <c r="G11" s="51" t="s">
        <v>109</v>
      </c>
      <c r="H11" s="1" t="s">
        <v>716</v>
      </c>
      <c r="I11" s="1" t="s">
        <v>147</v>
      </c>
      <c r="J11" s="51" t="s">
        <v>148</v>
      </c>
      <c r="K11" s="51" t="s">
        <v>112</v>
      </c>
      <c r="L11" s="51" t="s">
        <v>112</v>
      </c>
      <c r="M11" s="1">
        <v>1722545</v>
      </c>
      <c r="N11" s="52" t="s">
        <v>786</v>
      </c>
      <c r="O11" s="55">
        <f>DATE(2013,3,14)</f>
        <v>41347</v>
      </c>
      <c r="P11" s="55">
        <f>DATE(2018,7,31)</f>
        <v>43312</v>
      </c>
      <c r="Q11" s="51">
        <v>4350</v>
      </c>
      <c r="S11" s="51">
        <v>2.5</v>
      </c>
      <c r="U11" s="1">
        <f t="shared" si="0"/>
        <v>1966</v>
      </c>
      <c r="V11" s="31">
        <f t="shared" si="1"/>
        <v>2.2126144455747712</v>
      </c>
      <c r="W11" s="31">
        <f t="shared" si="2"/>
        <v>807.60427263479153</v>
      </c>
      <c r="X11" s="31">
        <f t="shared" si="3"/>
        <v>1.0095053407934893</v>
      </c>
      <c r="AA11" s="32">
        <f t="shared" si="4"/>
        <v>42552</v>
      </c>
      <c r="AB11" s="32">
        <f t="shared" si="5"/>
        <v>42735</v>
      </c>
      <c r="AC11" s="52">
        <v>22</v>
      </c>
      <c r="AD11" s="1">
        <f t="shared" si="6"/>
        <v>184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1</v>
      </c>
      <c r="AJ11" s="23">
        <f t="shared" si="12"/>
        <v>1.0095053407934893</v>
      </c>
      <c r="AK11" s="23">
        <f t="shared" si="13"/>
        <v>22.209117497456766</v>
      </c>
      <c r="AL11" s="23">
        <f t="shared" si="14"/>
        <v>55.522793743641913</v>
      </c>
      <c r="AM11" s="23">
        <f t="shared" si="15"/>
        <v>27.761396871820956</v>
      </c>
      <c r="AN11" s="23">
        <f t="shared" si="16"/>
        <v>83.284190615462876</v>
      </c>
      <c r="AQ11" s="32">
        <f t="shared" si="17"/>
        <v>42736</v>
      </c>
      <c r="AR11" s="32">
        <f t="shared" si="18"/>
        <v>42916</v>
      </c>
      <c r="AS11" s="52">
        <v>22</v>
      </c>
      <c r="AT11" s="1">
        <f t="shared" si="19"/>
        <v>181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1</v>
      </c>
      <c r="AZ11" s="23">
        <f t="shared" si="25"/>
        <v>1.0095053407934893</v>
      </c>
      <c r="BA11" s="23">
        <f t="shared" si="26"/>
        <v>22.209117497456766</v>
      </c>
      <c r="BB11" s="23">
        <f t="shared" si="27"/>
        <v>55.522793743641913</v>
      </c>
      <c r="BC11" s="23">
        <f t="shared" si="28"/>
        <v>27.761396871820956</v>
      </c>
      <c r="BD11" s="23">
        <f t="shared" si="29"/>
        <v>83.284190615462876</v>
      </c>
    </row>
    <row r="12" spans="1:57">
      <c r="A12" s="48" t="s">
        <v>20</v>
      </c>
      <c r="B12" s="1" t="s">
        <v>42</v>
      </c>
      <c r="C12" s="1" t="s">
        <v>22</v>
      </c>
      <c r="D12" s="1" t="s">
        <v>43</v>
      </c>
      <c r="E12" s="51" t="s">
        <v>107</v>
      </c>
      <c r="F12" s="51" t="s">
        <v>108</v>
      </c>
      <c r="G12" s="51" t="s">
        <v>109</v>
      </c>
      <c r="H12" s="1" t="s">
        <v>124</v>
      </c>
      <c r="I12" s="1" t="s">
        <v>125</v>
      </c>
      <c r="J12" s="51" t="s">
        <v>112</v>
      </c>
      <c r="K12" s="51" t="s">
        <v>112</v>
      </c>
      <c r="L12" s="51" t="s">
        <v>112</v>
      </c>
      <c r="M12" s="1">
        <v>1847803</v>
      </c>
      <c r="N12" s="50" t="s">
        <v>787</v>
      </c>
      <c r="O12" s="55">
        <f>DATE(2013,10,16)</f>
        <v>41563</v>
      </c>
      <c r="P12" s="55">
        <f>DATE(2015,7,15)</f>
        <v>42200</v>
      </c>
      <c r="Q12" s="51">
        <v>1440</v>
      </c>
      <c r="S12" s="51">
        <v>2.5</v>
      </c>
      <c r="U12" s="1">
        <f t="shared" si="0"/>
        <v>638</v>
      </c>
      <c r="V12" s="31">
        <f t="shared" si="1"/>
        <v>2.2570532915360499</v>
      </c>
      <c r="W12" s="31">
        <f t="shared" si="2"/>
        <v>823.82445141065818</v>
      </c>
      <c r="X12" s="31">
        <f t="shared" si="3"/>
        <v>1.0297805642633227</v>
      </c>
      <c r="AA12" s="32">
        <f t="shared" si="4"/>
        <v>42552</v>
      </c>
      <c r="AB12" s="32">
        <f t="shared" si="5"/>
        <v>42735</v>
      </c>
      <c r="AC12" s="50">
        <v>12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0.51489028213166133</v>
      </c>
      <c r="AK12" s="23">
        <f t="shared" si="13"/>
        <v>3.0893416927899677</v>
      </c>
      <c r="AL12" s="23">
        <f t="shared" si="14"/>
        <v>7.7233542319749198</v>
      </c>
      <c r="AM12" s="23">
        <f t="shared" si="15"/>
        <v>0</v>
      </c>
      <c r="AN12" s="23">
        <f t="shared" si="16"/>
        <v>7.7233542319749198</v>
      </c>
      <c r="AQ12" s="32">
        <f t="shared" si="17"/>
        <v>42736</v>
      </c>
      <c r="AR12" s="32">
        <f t="shared" si="18"/>
        <v>42916</v>
      </c>
      <c r="AS12" s="50">
        <v>3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0.51489028213166133</v>
      </c>
      <c r="BA12" s="23">
        <f t="shared" si="26"/>
        <v>0.77233542319749193</v>
      </c>
      <c r="BB12" s="23">
        <f t="shared" si="27"/>
        <v>1.9308385579937299</v>
      </c>
      <c r="BC12" s="23">
        <f t="shared" si="28"/>
        <v>0</v>
      </c>
      <c r="BD12" s="23">
        <f t="shared" si="29"/>
        <v>1.9308385579937299</v>
      </c>
    </row>
    <row r="13" spans="1:57">
      <c r="A13" s="1" t="s">
        <v>20</v>
      </c>
      <c r="B13" s="1" t="s">
        <v>42</v>
      </c>
      <c r="C13" s="1" t="s">
        <v>22</v>
      </c>
      <c r="D13" s="1" t="s">
        <v>43</v>
      </c>
      <c r="E13" s="51" t="s">
        <v>107</v>
      </c>
      <c r="F13" s="51" t="s">
        <v>108</v>
      </c>
      <c r="G13" s="51" t="s">
        <v>109</v>
      </c>
      <c r="H13" s="1" t="s">
        <v>285</v>
      </c>
      <c r="I13" s="1" t="s">
        <v>125</v>
      </c>
      <c r="J13" s="51" t="s">
        <v>112</v>
      </c>
      <c r="K13" s="51" t="s">
        <v>112</v>
      </c>
      <c r="L13" s="51" t="s">
        <v>112</v>
      </c>
      <c r="M13" s="1">
        <v>1849320</v>
      </c>
      <c r="N13" s="50" t="s">
        <v>788</v>
      </c>
      <c r="O13" s="55">
        <f>DATE(2013,10,7)</f>
        <v>41554</v>
      </c>
      <c r="P13" s="55">
        <f>DATE(2015,7,30)</f>
        <v>42215</v>
      </c>
      <c r="Q13" s="51">
        <v>1040</v>
      </c>
      <c r="S13" s="51">
        <v>2.5</v>
      </c>
      <c r="U13" s="1">
        <f t="shared" si="0"/>
        <v>662</v>
      </c>
      <c r="V13" s="31">
        <f t="shared" si="1"/>
        <v>1.5709969788519638</v>
      </c>
      <c r="W13" s="31">
        <f t="shared" si="2"/>
        <v>573.41389728096681</v>
      </c>
      <c r="X13" s="31">
        <f t="shared" si="3"/>
        <v>0.71676737160120851</v>
      </c>
      <c r="AA13" s="32">
        <f t="shared" si="4"/>
        <v>42552</v>
      </c>
      <c r="AB13" s="32">
        <f t="shared" si="5"/>
        <v>42735</v>
      </c>
      <c r="AC13" s="50">
        <v>13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0.35838368580060426</v>
      </c>
      <c r="AK13" s="23">
        <f t="shared" si="13"/>
        <v>2.3294939577039275</v>
      </c>
      <c r="AL13" s="23">
        <f t="shared" si="14"/>
        <v>5.8237348942598191</v>
      </c>
      <c r="AM13" s="23">
        <f t="shared" si="15"/>
        <v>0</v>
      </c>
      <c r="AN13" s="23">
        <f t="shared" si="16"/>
        <v>5.8237348942598191</v>
      </c>
      <c r="AQ13" s="32">
        <f t="shared" si="17"/>
        <v>42736</v>
      </c>
      <c r="AR13" s="32">
        <f t="shared" si="18"/>
        <v>42916</v>
      </c>
      <c r="AS13" s="50">
        <v>9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0.35838368580060426</v>
      </c>
      <c r="BA13" s="23">
        <f t="shared" si="26"/>
        <v>1.6127265861027191</v>
      </c>
      <c r="BB13" s="23">
        <f t="shared" si="27"/>
        <v>4.0318164652567976</v>
      </c>
      <c r="BC13" s="23">
        <f t="shared" si="28"/>
        <v>0</v>
      </c>
      <c r="BD13" s="23">
        <f t="shared" si="29"/>
        <v>4.0318164652567976</v>
      </c>
    </row>
    <row r="14" spans="1:57">
      <c r="A14" s="1" t="s">
        <v>20</v>
      </c>
      <c r="B14" s="1" t="s">
        <v>42</v>
      </c>
      <c r="C14" s="1" t="s">
        <v>22</v>
      </c>
      <c r="D14" s="1" t="s">
        <v>43</v>
      </c>
      <c r="E14" s="51" t="s">
        <v>107</v>
      </c>
      <c r="F14" s="51" t="s">
        <v>294</v>
      </c>
      <c r="G14" s="51" t="s">
        <v>109</v>
      </c>
      <c r="H14" s="1" t="s">
        <v>778</v>
      </c>
      <c r="I14" s="1" t="s">
        <v>234</v>
      </c>
      <c r="J14" s="51" t="s">
        <v>112</v>
      </c>
      <c r="K14" s="51" t="s">
        <v>112</v>
      </c>
      <c r="L14" s="51" t="s">
        <v>112</v>
      </c>
      <c r="M14" s="1">
        <v>1849328</v>
      </c>
      <c r="N14" s="50" t="s">
        <v>789</v>
      </c>
      <c r="O14" s="55">
        <f>DATE(2013,10,7)</f>
        <v>41554</v>
      </c>
      <c r="P14" s="55">
        <f>DATE(2016,12,20)</f>
        <v>42724</v>
      </c>
      <c r="Q14" s="51">
        <v>1930</v>
      </c>
      <c r="S14" s="51">
        <v>1</v>
      </c>
      <c r="U14" s="1">
        <f t="shared" si="0"/>
        <v>1171</v>
      </c>
      <c r="V14" s="31">
        <f t="shared" si="1"/>
        <v>1.6481639624252775</v>
      </c>
      <c r="W14" s="31">
        <f t="shared" si="2"/>
        <v>601.57984628522627</v>
      </c>
      <c r="X14" s="31">
        <f t="shared" si="3"/>
        <v>0.75197480785653281</v>
      </c>
      <c r="AA14" s="32">
        <f t="shared" si="4"/>
        <v>42552</v>
      </c>
      <c r="AB14" s="32">
        <f t="shared" si="5"/>
        <v>42735</v>
      </c>
      <c r="AC14" s="50">
        <v>17</v>
      </c>
      <c r="AD14" s="1">
        <f t="shared" si="6"/>
        <v>0</v>
      </c>
      <c r="AE14" s="1">
        <f t="shared" si="7"/>
        <v>0</v>
      </c>
      <c r="AF14" s="1">
        <f t="shared" si="8"/>
        <v>173</v>
      </c>
      <c r="AG14" s="1">
        <f t="shared" si="9"/>
        <v>0</v>
      </c>
      <c r="AH14" s="1">
        <f t="shared" si="10"/>
        <v>0</v>
      </c>
      <c r="AI14" s="23">
        <f t="shared" si="11"/>
        <v>0.94021739130434778</v>
      </c>
      <c r="AJ14" s="23">
        <f t="shared" si="12"/>
        <v>0.70701979216945743</v>
      </c>
      <c r="AK14" s="23">
        <f t="shared" si="13"/>
        <v>12.019336466880777</v>
      </c>
      <c r="AL14" s="23">
        <f t="shared" si="14"/>
        <v>12.019336466880777</v>
      </c>
      <c r="AM14" s="23">
        <f t="shared" si="15"/>
        <v>0</v>
      </c>
      <c r="AN14" s="23">
        <f t="shared" si="16"/>
        <v>12.019336466880777</v>
      </c>
      <c r="AQ14" s="32">
        <f t="shared" si="17"/>
        <v>42736</v>
      </c>
      <c r="AR14" s="32">
        <f t="shared" si="18"/>
        <v>42916</v>
      </c>
      <c r="AS14" s="50">
        <v>17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0.37598740392826641</v>
      </c>
      <c r="BA14" s="23">
        <f t="shared" si="26"/>
        <v>3.1958929333902644</v>
      </c>
      <c r="BB14" s="23">
        <f t="shared" si="27"/>
        <v>3.1958929333902644</v>
      </c>
      <c r="BC14" s="23">
        <f t="shared" si="28"/>
        <v>0</v>
      </c>
      <c r="BD14" s="23">
        <f t="shared" si="29"/>
        <v>3.1958929333902644</v>
      </c>
    </row>
    <row r="15" spans="1:57">
      <c r="A15" s="1" t="s">
        <v>20</v>
      </c>
      <c r="B15" s="1" t="s">
        <v>42</v>
      </c>
      <c r="C15" s="1" t="s">
        <v>22</v>
      </c>
      <c r="D15" s="1" t="s">
        <v>43</v>
      </c>
      <c r="E15" s="51" t="s">
        <v>107</v>
      </c>
      <c r="F15" s="51" t="s">
        <v>108</v>
      </c>
      <c r="G15" s="51" t="s">
        <v>109</v>
      </c>
      <c r="H15" s="1" t="s">
        <v>642</v>
      </c>
      <c r="I15" s="1" t="s">
        <v>147</v>
      </c>
      <c r="J15" s="51" t="s">
        <v>148</v>
      </c>
      <c r="K15" s="51" t="s">
        <v>112</v>
      </c>
      <c r="L15" s="51" t="s">
        <v>112</v>
      </c>
      <c r="M15" s="1">
        <v>1849353</v>
      </c>
      <c r="N15" s="50" t="s">
        <v>790</v>
      </c>
      <c r="O15" s="55">
        <f>DATE(2013,10,7)</f>
        <v>41554</v>
      </c>
      <c r="P15" s="55">
        <f>DATE(2015,12,30)</f>
        <v>42368</v>
      </c>
      <c r="Q15" s="51">
        <v>1440</v>
      </c>
      <c r="S15" s="51">
        <v>2.5</v>
      </c>
      <c r="U15" s="1">
        <f t="shared" si="0"/>
        <v>815</v>
      </c>
      <c r="V15" s="31">
        <f t="shared" si="1"/>
        <v>1.7668711656441718</v>
      </c>
      <c r="W15" s="31">
        <f t="shared" si="2"/>
        <v>644.90797546012266</v>
      </c>
      <c r="X15" s="31">
        <f t="shared" si="3"/>
        <v>0.80613496932515327</v>
      </c>
      <c r="AA15" s="32">
        <f t="shared" si="4"/>
        <v>42552</v>
      </c>
      <c r="AB15" s="32">
        <f t="shared" si="5"/>
        <v>42735</v>
      </c>
      <c r="AC15" s="50">
        <v>5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0.40306748466257664</v>
      </c>
      <c r="AK15" s="23">
        <f t="shared" si="13"/>
        <v>1.0076687116564416</v>
      </c>
      <c r="AL15" s="23">
        <f t="shared" si="14"/>
        <v>2.5191717791411037</v>
      </c>
      <c r="AM15" s="23">
        <f t="shared" si="15"/>
        <v>1.2595858895705518</v>
      </c>
      <c r="AN15" s="23">
        <f t="shared" si="16"/>
        <v>3.7787576687116555</v>
      </c>
      <c r="AQ15" s="32">
        <f t="shared" si="17"/>
        <v>42736</v>
      </c>
      <c r="AR15" s="32">
        <f t="shared" si="18"/>
        <v>42916</v>
      </c>
      <c r="AS15" s="50">
        <v>5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0.40306748466257664</v>
      </c>
      <c r="BA15" s="23">
        <f t="shared" si="26"/>
        <v>1.0076687116564416</v>
      </c>
      <c r="BB15" s="23">
        <f t="shared" si="27"/>
        <v>2.5191717791411037</v>
      </c>
      <c r="BC15" s="23">
        <f t="shared" si="28"/>
        <v>1.2595858895705518</v>
      </c>
      <c r="BD15" s="23">
        <f t="shared" si="29"/>
        <v>3.7787576687116555</v>
      </c>
    </row>
    <row r="16" spans="1:57">
      <c r="A16" s="1" t="s">
        <v>20</v>
      </c>
      <c r="B16" s="1" t="s">
        <v>42</v>
      </c>
      <c r="C16" s="1" t="s">
        <v>22</v>
      </c>
      <c r="D16" s="1" t="s">
        <v>43</v>
      </c>
      <c r="E16" s="51" t="s">
        <v>107</v>
      </c>
      <c r="F16" s="51" t="s">
        <v>108</v>
      </c>
      <c r="G16" s="51" t="s">
        <v>109</v>
      </c>
      <c r="H16" s="1" t="s">
        <v>179</v>
      </c>
      <c r="I16" s="1" t="s">
        <v>125</v>
      </c>
      <c r="J16" s="51" t="s">
        <v>112</v>
      </c>
      <c r="K16" s="51" t="s">
        <v>112</v>
      </c>
      <c r="L16" s="51" t="s">
        <v>112</v>
      </c>
      <c r="M16" s="1">
        <v>1849361</v>
      </c>
      <c r="N16" s="50" t="s">
        <v>791</v>
      </c>
      <c r="O16" s="55">
        <f>DATE(2013,10,7)</f>
        <v>41554</v>
      </c>
      <c r="P16" s="55">
        <f>DATE(2015,7,30)</f>
        <v>42215</v>
      </c>
      <c r="Q16" s="51">
        <v>1200</v>
      </c>
      <c r="S16" s="51">
        <v>2</v>
      </c>
      <c r="U16" s="1">
        <f t="shared" si="0"/>
        <v>662</v>
      </c>
      <c r="V16" s="31">
        <f t="shared" si="1"/>
        <v>1.8126888217522659</v>
      </c>
      <c r="W16" s="31">
        <f t="shared" si="2"/>
        <v>661.63141993957709</v>
      </c>
      <c r="X16" s="31">
        <f t="shared" si="3"/>
        <v>0.82703927492447138</v>
      </c>
      <c r="AA16" s="32">
        <f t="shared" si="4"/>
        <v>42552</v>
      </c>
      <c r="AB16" s="32">
        <f t="shared" si="5"/>
        <v>42735</v>
      </c>
      <c r="AC16" s="50">
        <v>7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0.41351963746223569</v>
      </c>
      <c r="AK16" s="23">
        <f t="shared" si="13"/>
        <v>1.4473187311178248</v>
      </c>
      <c r="AL16" s="23">
        <f t="shared" si="14"/>
        <v>2.8946374622356497</v>
      </c>
      <c r="AM16" s="23">
        <f t="shared" si="15"/>
        <v>0</v>
      </c>
      <c r="AN16" s="23">
        <f t="shared" si="16"/>
        <v>2.8946374622356497</v>
      </c>
      <c r="AQ16" s="32">
        <f t="shared" si="17"/>
        <v>42736</v>
      </c>
      <c r="AR16" s="32">
        <f t="shared" si="18"/>
        <v>42916</v>
      </c>
      <c r="AS16" s="50">
        <v>4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0.41351963746223569</v>
      </c>
      <c r="BA16" s="23">
        <f t="shared" si="26"/>
        <v>0.82703927492447138</v>
      </c>
      <c r="BB16" s="23">
        <f t="shared" si="27"/>
        <v>1.6540785498489428</v>
      </c>
      <c r="BC16" s="23">
        <f t="shared" si="28"/>
        <v>0</v>
      </c>
      <c r="BD16" s="23">
        <f t="shared" si="29"/>
        <v>1.6540785498489428</v>
      </c>
    </row>
    <row r="17" spans="1:56">
      <c r="A17" s="1" t="s">
        <v>20</v>
      </c>
      <c r="B17" s="1" t="s">
        <v>42</v>
      </c>
      <c r="C17" s="1" t="s">
        <v>22</v>
      </c>
      <c r="D17" s="1" t="s">
        <v>43</v>
      </c>
      <c r="E17" s="51" t="s">
        <v>107</v>
      </c>
      <c r="F17" s="51" t="s">
        <v>108</v>
      </c>
      <c r="G17" s="51" t="s">
        <v>109</v>
      </c>
      <c r="H17" s="1" t="s">
        <v>161</v>
      </c>
      <c r="I17" s="1" t="s">
        <v>131</v>
      </c>
      <c r="J17" s="51" t="s">
        <v>112</v>
      </c>
      <c r="K17" s="51" t="s">
        <v>112</v>
      </c>
      <c r="L17" s="51" t="s">
        <v>112</v>
      </c>
      <c r="M17" s="1">
        <v>1940302</v>
      </c>
      <c r="N17" s="50" t="s">
        <v>792</v>
      </c>
      <c r="O17" s="55">
        <f>DATE(2014,1,28)</f>
        <v>41667</v>
      </c>
      <c r="P17" s="55">
        <f>DATE(2015,7,30)</f>
        <v>42215</v>
      </c>
      <c r="Q17" s="51">
        <v>1200</v>
      </c>
      <c r="S17" s="51">
        <v>2.5</v>
      </c>
      <c r="U17" s="1">
        <f t="shared" si="0"/>
        <v>549</v>
      </c>
      <c r="V17" s="31">
        <f t="shared" si="1"/>
        <v>2.1857923497267762</v>
      </c>
      <c r="W17" s="31">
        <f t="shared" si="2"/>
        <v>797.81420765027326</v>
      </c>
      <c r="X17" s="31">
        <f t="shared" si="3"/>
        <v>0.99726775956284153</v>
      </c>
      <c r="AA17" s="32">
        <f t="shared" si="4"/>
        <v>42552</v>
      </c>
      <c r="AB17" s="32">
        <f t="shared" si="5"/>
        <v>42735</v>
      </c>
      <c r="AC17" s="50">
        <v>11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0.49863387978142076</v>
      </c>
      <c r="AK17" s="23">
        <f t="shared" si="13"/>
        <v>2.7424863387978142</v>
      </c>
      <c r="AL17" s="23">
        <f t="shared" si="14"/>
        <v>6.8562158469945356</v>
      </c>
      <c r="AM17" s="23">
        <f t="shared" si="15"/>
        <v>0</v>
      </c>
      <c r="AN17" s="23">
        <f t="shared" si="16"/>
        <v>6.8562158469945356</v>
      </c>
      <c r="AQ17" s="32">
        <f t="shared" si="17"/>
        <v>42736</v>
      </c>
      <c r="AR17" s="32">
        <f t="shared" si="18"/>
        <v>42916</v>
      </c>
      <c r="AS17" s="50">
        <v>1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0.49863387978142076</v>
      </c>
      <c r="BA17" s="23">
        <f t="shared" si="26"/>
        <v>0.24931693989071038</v>
      </c>
      <c r="BB17" s="23">
        <f t="shared" si="27"/>
        <v>0.62329234972677594</v>
      </c>
      <c r="BC17" s="23">
        <f t="shared" si="28"/>
        <v>0</v>
      </c>
      <c r="BD17" s="23">
        <f t="shared" si="29"/>
        <v>0.62329234972677594</v>
      </c>
    </row>
    <row r="18" spans="1:56">
      <c r="A18" s="1" t="s">
        <v>20</v>
      </c>
      <c r="B18" s="1" t="s">
        <v>42</v>
      </c>
      <c r="C18" s="1" t="s">
        <v>22</v>
      </c>
      <c r="D18" s="1" t="s">
        <v>43</v>
      </c>
      <c r="E18" s="51" t="s">
        <v>107</v>
      </c>
      <c r="F18" s="51" t="s">
        <v>265</v>
      </c>
      <c r="G18" s="51" t="s">
        <v>109</v>
      </c>
      <c r="H18" s="1" t="s">
        <v>716</v>
      </c>
      <c r="I18" s="1" t="s">
        <v>147</v>
      </c>
      <c r="J18" s="51" t="s">
        <v>148</v>
      </c>
      <c r="K18" s="51" t="s">
        <v>112</v>
      </c>
      <c r="L18" s="51" t="s">
        <v>112</v>
      </c>
      <c r="M18" s="1">
        <v>1946754</v>
      </c>
      <c r="N18" s="52" t="s">
        <v>793</v>
      </c>
      <c r="O18" s="55">
        <f>DATE(2014,2,17)</f>
        <v>41687</v>
      </c>
      <c r="P18" s="55">
        <f>DATE(2019,4,17)</f>
        <v>43572</v>
      </c>
      <c r="Q18" s="51">
        <v>4550</v>
      </c>
      <c r="S18" s="51">
        <v>2.5</v>
      </c>
      <c r="U18" s="1">
        <f t="shared" si="0"/>
        <v>1886</v>
      </c>
      <c r="V18" s="31">
        <f t="shared" si="1"/>
        <v>2.4125132555673381</v>
      </c>
      <c r="W18" s="31">
        <f t="shared" si="2"/>
        <v>880.56733828207837</v>
      </c>
      <c r="X18" s="31">
        <f t="shared" si="3"/>
        <v>1.100709172852598</v>
      </c>
      <c r="AA18" s="32">
        <f t="shared" si="4"/>
        <v>42552</v>
      </c>
      <c r="AB18" s="32">
        <f t="shared" si="5"/>
        <v>42735</v>
      </c>
      <c r="AC18" s="52">
        <v>20</v>
      </c>
      <c r="AD18" s="1">
        <f t="shared" si="6"/>
        <v>184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0</v>
      </c>
      <c r="AI18" s="23">
        <f t="shared" si="11"/>
        <v>1</v>
      </c>
      <c r="AJ18" s="23">
        <f t="shared" si="12"/>
        <v>1.100709172852598</v>
      </c>
      <c r="AK18" s="23">
        <f t="shared" si="13"/>
        <v>22.01418345705196</v>
      </c>
      <c r="AL18" s="23">
        <f t="shared" si="14"/>
        <v>55.035458642629898</v>
      </c>
      <c r="AM18" s="23">
        <f t="shared" si="15"/>
        <v>27.517729321314949</v>
      </c>
      <c r="AN18" s="23">
        <f t="shared" si="16"/>
        <v>82.55318796394485</v>
      </c>
      <c r="AQ18" s="32">
        <f t="shared" si="17"/>
        <v>42736</v>
      </c>
      <c r="AR18" s="32">
        <f t="shared" si="18"/>
        <v>42916</v>
      </c>
      <c r="AS18" s="52">
        <v>20</v>
      </c>
      <c r="AT18" s="1">
        <f t="shared" si="19"/>
        <v>181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0</v>
      </c>
      <c r="AY18" s="23">
        <f t="shared" si="24"/>
        <v>1</v>
      </c>
      <c r="AZ18" s="23">
        <f t="shared" si="25"/>
        <v>1.100709172852598</v>
      </c>
      <c r="BA18" s="23">
        <f t="shared" si="26"/>
        <v>22.01418345705196</v>
      </c>
      <c r="BB18" s="23">
        <f t="shared" si="27"/>
        <v>55.035458642629898</v>
      </c>
      <c r="BC18" s="23">
        <f t="shared" si="28"/>
        <v>27.517729321314949</v>
      </c>
      <c r="BD18" s="23">
        <f t="shared" si="29"/>
        <v>82.55318796394485</v>
      </c>
    </row>
    <row r="19" spans="1:56">
      <c r="A19" s="1" t="s">
        <v>20</v>
      </c>
      <c r="B19" s="1" t="s">
        <v>42</v>
      </c>
      <c r="C19" s="1" t="s">
        <v>22</v>
      </c>
      <c r="D19" s="1" t="s">
        <v>43</v>
      </c>
      <c r="E19" s="51" t="s">
        <v>107</v>
      </c>
      <c r="F19" s="51" t="s">
        <v>294</v>
      </c>
      <c r="G19" s="51" t="s">
        <v>109</v>
      </c>
      <c r="H19" s="1" t="s">
        <v>778</v>
      </c>
      <c r="I19" s="1" t="s">
        <v>234</v>
      </c>
      <c r="J19" s="51" t="s">
        <v>112</v>
      </c>
      <c r="K19" s="51" t="s">
        <v>112</v>
      </c>
      <c r="L19" s="51" t="s">
        <v>112</v>
      </c>
      <c r="M19" s="1">
        <v>1960421</v>
      </c>
      <c r="N19" s="51" t="s">
        <v>794</v>
      </c>
      <c r="O19" s="55">
        <f>DATE(2014,8,4)</f>
        <v>41855</v>
      </c>
      <c r="P19" s="55">
        <f>DATE(2017,7,30)</f>
        <v>42946</v>
      </c>
      <c r="Q19" s="51">
        <v>1930</v>
      </c>
      <c r="S19" s="51">
        <v>1</v>
      </c>
      <c r="U19" s="1">
        <f t="shared" si="0"/>
        <v>1092</v>
      </c>
      <c r="V19" s="31">
        <f t="shared" si="1"/>
        <v>1.7673992673992673</v>
      </c>
      <c r="W19" s="31">
        <f t="shared" si="2"/>
        <v>645.10073260073261</v>
      </c>
      <c r="X19" s="31">
        <f t="shared" si="3"/>
        <v>0.80637591575091572</v>
      </c>
      <c r="AA19" s="32">
        <f t="shared" si="4"/>
        <v>42552</v>
      </c>
      <c r="AB19" s="32">
        <f t="shared" si="5"/>
        <v>42735</v>
      </c>
      <c r="AC19" s="51">
        <v>42</v>
      </c>
      <c r="AD19" s="1">
        <f t="shared" si="6"/>
        <v>184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0</v>
      </c>
      <c r="AI19" s="23">
        <f t="shared" si="11"/>
        <v>1</v>
      </c>
      <c r="AJ19" s="23">
        <f t="shared" si="12"/>
        <v>0.80637591575091572</v>
      </c>
      <c r="AK19" s="23">
        <f t="shared" si="13"/>
        <v>33.86778846153846</v>
      </c>
      <c r="AL19" s="23">
        <f t="shared" si="14"/>
        <v>33.86778846153846</v>
      </c>
      <c r="AM19" s="23">
        <f t="shared" si="15"/>
        <v>0</v>
      </c>
      <c r="AN19" s="23">
        <f t="shared" si="16"/>
        <v>33.86778846153846</v>
      </c>
      <c r="AQ19" s="32">
        <f t="shared" si="17"/>
        <v>42736</v>
      </c>
      <c r="AR19" s="32">
        <f t="shared" si="18"/>
        <v>42916</v>
      </c>
      <c r="AS19" s="51">
        <v>41</v>
      </c>
      <c r="AT19" s="1">
        <f t="shared" si="19"/>
        <v>181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0</v>
      </c>
      <c r="AY19" s="23">
        <f t="shared" si="24"/>
        <v>1</v>
      </c>
      <c r="AZ19" s="23">
        <f t="shared" si="25"/>
        <v>0.80637591575091572</v>
      </c>
      <c r="BA19" s="23">
        <f t="shared" si="26"/>
        <v>33.061412545787547</v>
      </c>
      <c r="BB19" s="23">
        <f t="shared" si="27"/>
        <v>33.061412545787547</v>
      </c>
      <c r="BC19" s="23">
        <f t="shared" si="28"/>
        <v>0</v>
      </c>
      <c r="BD19" s="23">
        <f t="shared" si="29"/>
        <v>33.061412545787547</v>
      </c>
    </row>
    <row r="20" spans="1:56">
      <c r="A20" s="1" t="s">
        <v>20</v>
      </c>
      <c r="B20" s="1" t="s">
        <v>42</v>
      </c>
      <c r="C20" s="1" t="s">
        <v>22</v>
      </c>
      <c r="D20" s="1" t="s">
        <v>43</v>
      </c>
      <c r="E20" s="51" t="s">
        <v>154</v>
      </c>
      <c r="F20" s="51" t="s">
        <v>108</v>
      </c>
      <c r="G20" s="51" t="s">
        <v>109</v>
      </c>
      <c r="H20" s="1" t="s">
        <v>169</v>
      </c>
      <c r="I20" s="1" t="s">
        <v>116</v>
      </c>
      <c r="J20" s="51" t="s">
        <v>112</v>
      </c>
      <c r="K20" s="51" t="s">
        <v>112</v>
      </c>
      <c r="L20" s="51" t="s">
        <v>148</v>
      </c>
      <c r="M20" s="1">
        <v>1972557</v>
      </c>
      <c r="N20" s="56" t="s">
        <v>795</v>
      </c>
      <c r="O20" s="55">
        <f t="shared" ref="O20:O25" si="30">DATE(2014,10,10)</f>
        <v>41922</v>
      </c>
      <c r="P20" s="55">
        <f t="shared" ref="P20:P25" si="31">DATE(2016,7,31)</f>
        <v>42582</v>
      </c>
      <c r="Q20" s="51">
        <v>1600</v>
      </c>
      <c r="S20" s="51">
        <v>2</v>
      </c>
      <c r="U20" s="1">
        <f t="shared" si="0"/>
        <v>661</v>
      </c>
      <c r="V20" s="31">
        <f t="shared" si="1"/>
        <v>2.4205748865355523</v>
      </c>
      <c r="W20" s="31">
        <f t="shared" si="2"/>
        <v>883.5098335854766</v>
      </c>
      <c r="X20" s="31">
        <f t="shared" si="3"/>
        <v>1.1043872919818458</v>
      </c>
      <c r="AA20" s="32">
        <f t="shared" si="4"/>
        <v>42552</v>
      </c>
      <c r="AB20" s="32">
        <f t="shared" si="5"/>
        <v>42735</v>
      </c>
      <c r="AC20" s="50">
        <v>27</v>
      </c>
      <c r="AD20" s="1">
        <f t="shared" si="6"/>
        <v>0</v>
      </c>
      <c r="AE20" s="1">
        <f t="shared" si="7"/>
        <v>0</v>
      </c>
      <c r="AF20" s="1">
        <f t="shared" si="8"/>
        <v>31</v>
      </c>
      <c r="AG20" s="1">
        <f t="shared" si="9"/>
        <v>0</v>
      </c>
      <c r="AH20" s="1">
        <f t="shared" si="10"/>
        <v>0</v>
      </c>
      <c r="AI20" s="23">
        <f t="shared" si="11"/>
        <v>0.16847826086956522</v>
      </c>
      <c r="AJ20" s="23">
        <f t="shared" si="12"/>
        <v>0.18606525027955012</v>
      </c>
      <c r="AK20" s="23">
        <f t="shared" si="13"/>
        <v>5.0237617575478533</v>
      </c>
      <c r="AL20" s="23">
        <f t="shared" si="14"/>
        <v>10.047523515095707</v>
      </c>
      <c r="AM20" s="23">
        <f t="shared" si="15"/>
        <v>0</v>
      </c>
      <c r="AN20" s="23">
        <f t="shared" si="16"/>
        <v>10.047523515095707</v>
      </c>
      <c r="AQ20" s="32">
        <f t="shared" si="17"/>
        <v>42736</v>
      </c>
      <c r="AR20" s="32">
        <f t="shared" si="18"/>
        <v>42916</v>
      </c>
      <c r="AS20" s="56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0.55219364599092291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42</v>
      </c>
      <c r="C21" s="1" t="s">
        <v>22</v>
      </c>
      <c r="D21" s="1" t="s">
        <v>43</v>
      </c>
      <c r="E21" s="51" t="s">
        <v>154</v>
      </c>
      <c r="F21" s="51" t="s">
        <v>108</v>
      </c>
      <c r="G21" s="51" t="s">
        <v>109</v>
      </c>
      <c r="H21" s="1" t="s">
        <v>169</v>
      </c>
      <c r="I21" s="1" t="s">
        <v>116</v>
      </c>
      <c r="J21" s="51" t="s">
        <v>112</v>
      </c>
      <c r="K21" s="51" t="s">
        <v>112</v>
      </c>
      <c r="L21" s="51" t="s">
        <v>148</v>
      </c>
      <c r="M21" s="1">
        <v>1972559</v>
      </c>
      <c r="N21" s="56" t="s">
        <v>795</v>
      </c>
      <c r="O21" s="55">
        <f t="shared" si="30"/>
        <v>41922</v>
      </c>
      <c r="P21" s="55">
        <f t="shared" si="31"/>
        <v>42582</v>
      </c>
      <c r="Q21" s="51">
        <v>1600</v>
      </c>
      <c r="S21" s="51">
        <v>2</v>
      </c>
      <c r="U21" s="1">
        <f t="shared" si="0"/>
        <v>661</v>
      </c>
      <c r="V21" s="31">
        <f t="shared" si="1"/>
        <v>2.4205748865355523</v>
      </c>
      <c r="W21" s="31">
        <f t="shared" si="2"/>
        <v>883.5098335854766</v>
      </c>
      <c r="X21" s="31">
        <f t="shared" si="3"/>
        <v>1.1043872919818458</v>
      </c>
      <c r="AA21" s="32">
        <f t="shared" si="4"/>
        <v>42552</v>
      </c>
      <c r="AB21" s="32">
        <f t="shared" si="5"/>
        <v>42735</v>
      </c>
      <c r="AC21" s="50">
        <v>24</v>
      </c>
      <c r="AD21" s="1">
        <f t="shared" si="6"/>
        <v>0</v>
      </c>
      <c r="AE21" s="1">
        <f t="shared" si="7"/>
        <v>0</v>
      </c>
      <c r="AF21" s="1">
        <f t="shared" si="8"/>
        <v>31</v>
      </c>
      <c r="AG21" s="1">
        <f t="shared" si="9"/>
        <v>0</v>
      </c>
      <c r="AH21" s="1">
        <f t="shared" si="10"/>
        <v>0</v>
      </c>
      <c r="AI21" s="23">
        <f t="shared" si="11"/>
        <v>0.16847826086956522</v>
      </c>
      <c r="AJ21" s="23">
        <f t="shared" si="12"/>
        <v>0.18606525027955012</v>
      </c>
      <c r="AK21" s="23">
        <f t="shared" si="13"/>
        <v>4.4655660067092029</v>
      </c>
      <c r="AL21" s="23">
        <f t="shared" si="14"/>
        <v>8.9311320134184058</v>
      </c>
      <c r="AM21" s="23">
        <f t="shared" si="15"/>
        <v>0</v>
      </c>
      <c r="AN21" s="23">
        <f t="shared" si="16"/>
        <v>8.9311320134184058</v>
      </c>
      <c r="AQ21" s="32">
        <f t="shared" si="17"/>
        <v>42736</v>
      </c>
      <c r="AR21" s="32">
        <f t="shared" si="18"/>
        <v>42916</v>
      </c>
      <c r="AS21" s="56">
        <v>0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0.55219364599092291</v>
      </c>
      <c r="BA21" s="23">
        <f t="shared" si="26"/>
        <v>0</v>
      </c>
      <c r="BB21" s="23">
        <f t="shared" si="27"/>
        <v>0</v>
      </c>
      <c r="BC21" s="23">
        <f t="shared" si="28"/>
        <v>0</v>
      </c>
      <c r="BD21" s="23">
        <f t="shared" si="29"/>
        <v>0</v>
      </c>
    </row>
    <row r="22" spans="1:56">
      <c r="A22" s="1" t="s">
        <v>20</v>
      </c>
      <c r="B22" s="1" t="s">
        <v>42</v>
      </c>
      <c r="C22" s="1" t="s">
        <v>22</v>
      </c>
      <c r="D22" s="1" t="s">
        <v>43</v>
      </c>
      <c r="E22" s="51" t="s">
        <v>154</v>
      </c>
      <c r="F22" s="51" t="s">
        <v>108</v>
      </c>
      <c r="G22" s="51" t="s">
        <v>109</v>
      </c>
      <c r="H22" s="1" t="s">
        <v>166</v>
      </c>
      <c r="I22" s="1" t="s">
        <v>167</v>
      </c>
      <c r="J22" s="51" t="s">
        <v>112</v>
      </c>
      <c r="K22" s="51" t="s">
        <v>112</v>
      </c>
      <c r="L22" s="51" t="s">
        <v>148</v>
      </c>
      <c r="M22" s="1">
        <v>1972560</v>
      </c>
      <c r="N22" s="56" t="s">
        <v>796</v>
      </c>
      <c r="O22" s="55">
        <f t="shared" si="30"/>
        <v>41922</v>
      </c>
      <c r="P22" s="55">
        <f t="shared" si="31"/>
        <v>42582</v>
      </c>
      <c r="Q22" s="51">
        <v>1600</v>
      </c>
      <c r="S22" s="51">
        <v>1.5</v>
      </c>
      <c r="U22" s="1">
        <f t="shared" si="0"/>
        <v>661</v>
      </c>
      <c r="V22" s="31">
        <f t="shared" si="1"/>
        <v>2.4205748865355523</v>
      </c>
      <c r="W22" s="31">
        <f t="shared" si="2"/>
        <v>883.5098335854766</v>
      </c>
      <c r="X22" s="31">
        <f t="shared" si="3"/>
        <v>1.1043872919818458</v>
      </c>
      <c r="AA22" s="32">
        <f t="shared" si="4"/>
        <v>42552</v>
      </c>
      <c r="AB22" s="32">
        <f t="shared" si="5"/>
        <v>42735</v>
      </c>
      <c r="AC22" s="50">
        <v>32</v>
      </c>
      <c r="AD22" s="1">
        <f t="shared" si="6"/>
        <v>0</v>
      </c>
      <c r="AE22" s="1">
        <f t="shared" si="7"/>
        <v>0</v>
      </c>
      <c r="AF22" s="1">
        <f t="shared" si="8"/>
        <v>31</v>
      </c>
      <c r="AG22" s="1">
        <f t="shared" si="9"/>
        <v>0</v>
      </c>
      <c r="AH22" s="1">
        <f t="shared" si="10"/>
        <v>0</v>
      </c>
      <c r="AI22" s="23">
        <f t="shared" si="11"/>
        <v>0.16847826086956522</v>
      </c>
      <c r="AJ22" s="23">
        <f t="shared" si="12"/>
        <v>0.18606525027955012</v>
      </c>
      <c r="AK22" s="23">
        <f t="shared" si="13"/>
        <v>5.9540880089456039</v>
      </c>
      <c r="AL22" s="23">
        <f t="shared" si="14"/>
        <v>8.9311320134184058</v>
      </c>
      <c r="AM22" s="23">
        <f t="shared" si="15"/>
        <v>0</v>
      </c>
      <c r="AN22" s="23">
        <f t="shared" si="16"/>
        <v>8.9311320134184058</v>
      </c>
      <c r="AQ22" s="32">
        <f t="shared" si="17"/>
        <v>42736</v>
      </c>
      <c r="AR22" s="32">
        <f t="shared" si="18"/>
        <v>42916</v>
      </c>
      <c r="AS22" s="56">
        <v>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0.55219364599092291</v>
      </c>
      <c r="BA22" s="23">
        <f t="shared" si="26"/>
        <v>0</v>
      </c>
      <c r="BB22" s="23">
        <f t="shared" si="27"/>
        <v>0</v>
      </c>
      <c r="BC22" s="23">
        <f t="shared" si="28"/>
        <v>0</v>
      </c>
      <c r="BD22" s="23">
        <f t="shared" si="29"/>
        <v>0</v>
      </c>
    </row>
    <row r="23" spans="1:56">
      <c r="A23" s="1" t="s">
        <v>20</v>
      </c>
      <c r="B23" s="1" t="s">
        <v>42</v>
      </c>
      <c r="C23" s="1" t="s">
        <v>22</v>
      </c>
      <c r="D23" s="1" t="s">
        <v>43</v>
      </c>
      <c r="E23" s="51" t="s">
        <v>154</v>
      </c>
      <c r="F23" s="51" t="s">
        <v>108</v>
      </c>
      <c r="G23" s="51" t="s">
        <v>109</v>
      </c>
      <c r="H23" s="1" t="s">
        <v>166</v>
      </c>
      <c r="I23" s="1" t="s">
        <v>167</v>
      </c>
      <c r="J23" s="51" t="s">
        <v>112</v>
      </c>
      <c r="K23" s="51" t="s">
        <v>112</v>
      </c>
      <c r="L23" s="51" t="s">
        <v>148</v>
      </c>
      <c r="M23" s="1">
        <v>1972561</v>
      </c>
      <c r="N23" s="56" t="s">
        <v>797</v>
      </c>
      <c r="O23" s="55">
        <f t="shared" si="30"/>
        <v>41922</v>
      </c>
      <c r="P23" s="55">
        <f t="shared" si="31"/>
        <v>42582</v>
      </c>
      <c r="Q23" s="51">
        <v>1600</v>
      </c>
      <c r="S23" s="51">
        <v>1.5</v>
      </c>
      <c r="U23" s="1">
        <f t="shared" si="0"/>
        <v>661</v>
      </c>
      <c r="V23" s="31">
        <f t="shared" si="1"/>
        <v>2.4205748865355523</v>
      </c>
      <c r="W23" s="31">
        <f t="shared" si="2"/>
        <v>883.5098335854766</v>
      </c>
      <c r="X23" s="31">
        <f t="shared" si="3"/>
        <v>1.1043872919818458</v>
      </c>
      <c r="AA23" s="32">
        <f t="shared" si="4"/>
        <v>42552</v>
      </c>
      <c r="AB23" s="32">
        <f t="shared" si="5"/>
        <v>42735</v>
      </c>
      <c r="AC23" s="50">
        <v>48</v>
      </c>
      <c r="AD23" s="1">
        <f t="shared" si="6"/>
        <v>0</v>
      </c>
      <c r="AE23" s="1">
        <f t="shared" si="7"/>
        <v>0</v>
      </c>
      <c r="AF23" s="1">
        <f t="shared" si="8"/>
        <v>31</v>
      </c>
      <c r="AG23" s="1">
        <f t="shared" si="9"/>
        <v>0</v>
      </c>
      <c r="AH23" s="1">
        <f t="shared" si="10"/>
        <v>0</v>
      </c>
      <c r="AI23" s="23">
        <f t="shared" si="11"/>
        <v>0.16847826086956522</v>
      </c>
      <c r="AJ23" s="23">
        <f t="shared" si="12"/>
        <v>0.18606525027955012</v>
      </c>
      <c r="AK23" s="23">
        <f t="shared" si="13"/>
        <v>8.9311320134184058</v>
      </c>
      <c r="AL23" s="23">
        <f t="shared" si="14"/>
        <v>13.396698020127609</v>
      </c>
      <c r="AM23" s="23">
        <f t="shared" si="15"/>
        <v>0</v>
      </c>
      <c r="AN23" s="23">
        <f t="shared" si="16"/>
        <v>13.396698020127609</v>
      </c>
      <c r="AQ23" s="32">
        <f t="shared" si="17"/>
        <v>42736</v>
      </c>
      <c r="AR23" s="32">
        <f t="shared" si="18"/>
        <v>42916</v>
      </c>
      <c r="AS23" s="56">
        <v>0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0.55219364599092291</v>
      </c>
      <c r="BA23" s="23">
        <f t="shared" si="26"/>
        <v>0</v>
      </c>
      <c r="BB23" s="23">
        <f t="shared" si="27"/>
        <v>0</v>
      </c>
      <c r="BC23" s="23">
        <f t="shared" si="28"/>
        <v>0</v>
      </c>
      <c r="BD23" s="23">
        <f t="shared" si="29"/>
        <v>0</v>
      </c>
    </row>
    <row r="24" spans="1:56">
      <c r="A24" s="1" t="s">
        <v>20</v>
      </c>
      <c r="B24" s="1" t="s">
        <v>42</v>
      </c>
      <c r="C24" s="1" t="s">
        <v>22</v>
      </c>
      <c r="D24" s="1" t="s">
        <v>43</v>
      </c>
      <c r="E24" s="51" t="s">
        <v>154</v>
      </c>
      <c r="F24" s="51" t="s">
        <v>108</v>
      </c>
      <c r="G24" s="51" t="s">
        <v>109</v>
      </c>
      <c r="H24" s="1" t="s">
        <v>224</v>
      </c>
      <c r="I24" s="1" t="s">
        <v>167</v>
      </c>
      <c r="J24" s="51" t="s">
        <v>112</v>
      </c>
      <c r="K24" s="51" t="s">
        <v>112</v>
      </c>
      <c r="L24" s="51" t="s">
        <v>148</v>
      </c>
      <c r="M24" s="1">
        <v>1972562</v>
      </c>
      <c r="N24" s="56" t="s">
        <v>798</v>
      </c>
      <c r="O24" s="55">
        <f t="shared" si="30"/>
        <v>41922</v>
      </c>
      <c r="P24" s="55">
        <f t="shared" si="31"/>
        <v>42582</v>
      </c>
      <c r="Q24" s="51">
        <v>1600</v>
      </c>
      <c r="S24" s="51">
        <v>1</v>
      </c>
      <c r="U24" s="1">
        <f t="shared" si="0"/>
        <v>661</v>
      </c>
      <c r="V24" s="31">
        <f t="shared" si="1"/>
        <v>2.4205748865355523</v>
      </c>
      <c r="W24" s="31">
        <f t="shared" si="2"/>
        <v>883.5098335854766</v>
      </c>
      <c r="X24" s="31">
        <f t="shared" si="3"/>
        <v>1.1043872919818458</v>
      </c>
      <c r="AA24" s="32">
        <f t="shared" si="4"/>
        <v>42552</v>
      </c>
      <c r="AB24" s="32">
        <f t="shared" si="5"/>
        <v>42735</v>
      </c>
      <c r="AC24" s="50">
        <v>51</v>
      </c>
      <c r="AD24" s="1">
        <f t="shared" si="6"/>
        <v>0</v>
      </c>
      <c r="AE24" s="1">
        <f t="shared" si="7"/>
        <v>0</v>
      </c>
      <c r="AF24" s="1">
        <f t="shared" si="8"/>
        <v>31</v>
      </c>
      <c r="AG24" s="1">
        <f t="shared" si="9"/>
        <v>0</v>
      </c>
      <c r="AH24" s="1">
        <f t="shared" si="10"/>
        <v>0</v>
      </c>
      <c r="AI24" s="23">
        <f t="shared" si="11"/>
        <v>0.16847826086956522</v>
      </c>
      <c r="AJ24" s="23">
        <f t="shared" si="12"/>
        <v>0.18606525027955012</v>
      </c>
      <c r="AK24" s="23">
        <f t="shared" si="13"/>
        <v>9.4893277642570553</v>
      </c>
      <c r="AL24" s="23">
        <f t="shared" si="14"/>
        <v>9.4893277642570553</v>
      </c>
      <c r="AM24" s="23">
        <f t="shared" si="15"/>
        <v>0</v>
      </c>
      <c r="AN24" s="23">
        <f t="shared" si="16"/>
        <v>9.4893277642570553</v>
      </c>
      <c r="AQ24" s="32">
        <f t="shared" si="17"/>
        <v>42736</v>
      </c>
      <c r="AR24" s="32">
        <f t="shared" si="18"/>
        <v>42916</v>
      </c>
      <c r="AS24" s="56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0.55219364599092291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42</v>
      </c>
      <c r="C25" s="1" t="s">
        <v>22</v>
      </c>
      <c r="D25" s="1" t="s">
        <v>43</v>
      </c>
      <c r="E25" s="51" t="s">
        <v>154</v>
      </c>
      <c r="F25" s="51" t="s">
        <v>108</v>
      </c>
      <c r="G25" s="51" t="s">
        <v>109</v>
      </c>
      <c r="H25" s="1" t="s">
        <v>224</v>
      </c>
      <c r="I25" s="1" t="s">
        <v>167</v>
      </c>
      <c r="J25" s="51" t="s">
        <v>112</v>
      </c>
      <c r="K25" s="51" t="s">
        <v>112</v>
      </c>
      <c r="L25" s="51" t="s">
        <v>148</v>
      </c>
      <c r="M25" s="1">
        <v>1972563</v>
      </c>
      <c r="N25" s="56" t="s">
        <v>798</v>
      </c>
      <c r="O25" s="55">
        <f t="shared" si="30"/>
        <v>41922</v>
      </c>
      <c r="P25" s="55">
        <f t="shared" si="31"/>
        <v>42582</v>
      </c>
      <c r="Q25" s="51">
        <v>1600</v>
      </c>
      <c r="S25" s="51">
        <v>1</v>
      </c>
      <c r="U25" s="1">
        <f t="shared" si="0"/>
        <v>661</v>
      </c>
      <c r="V25" s="31">
        <f t="shared" si="1"/>
        <v>2.4205748865355523</v>
      </c>
      <c r="W25" s="31">
        <f t="shared" si="2"/>
        <v>883.5098335854766</v>
      </c>
      <c r="X25" s="31">
        <f t="shared" si="3"/>
        <v>1.1043872919818458</v>
      </c>
      <c r="AA25" s="32">
        <f t="shared" si="4"/>
        <v>42552</v>
      </c>
      <c r="AB25" s="32">
        <f t="shared" si="5"/>
        <v>42735</v>
      </c>
      <c r="AC25" s="50">
        <v>31</v>
      </c>
      <c r="AD25" s="1">
        <f t="shared" si="6"/>
        <v>0</v>
      </c>
      <c r="AE25" s="1">
        <f t="shared" si="7"/>
        <v>0</v>
      </c>
      <c r="AF25" s="1">
        <f t="shared" si="8"/>
        <v>31</v>
      </c>
      <c r="AG25" s="1">
        <f t="shared" si="9"/>
        <v>0</v>
      </c>
      <c r="AH25" s="1">
        <f t="shared" si="10"/>
        <v>0</v>
      </c>
      <c r="AI25" s="23">
        <f t="shared" si="11"/>
        <v>0.16847826086956522</v>
      </c>
      <c r="AJ25" s="23">
        <f t="shared" si="12"/>
        <v>0.18606525027955012</v>
      </c>
      <c r="AK25" s="23">
        <f t="shared" si="13"/>
        <v>5.7680227586660537</v>
      </c>
      <c r="AL25" s="23">
        <f t="shared" si="14"/>
        <v>5.7680227586660537</v>
      </c>
      <c r="AM25" s="23">
        <f t="shared" si="15"/>
        <v>0</v>
      </c>
      <c r="AN25" s="23">
        <f t="shared" si="16"/>
        <v>5.7680227586660537</v>
      </c>
      <c r="AQ25" s="32">
        <f t="shared" si="17"/>
        <v>42736</v>
      </c>
      <c r="AR25" s="32">
        <f t="shared" si="18"/>
        <v>42916</v>
      </c>
      <c r="AS25" s="56">
        <v>0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0.55219364599092291</v>
      </c>
      <c r="BA25" s="23">
        <f t="shared" si="26"/>
        <v>0</v>
      </c>
      <c r="BB25" s="23">
        <f t="shared" si="27"/>
        <v>0</v>
      </c>
      <c r="BC25" s="23">
        <f t="shared" si="28"/>
        <v>0</v>
      </c>
      <c r="BD25" s="23">
        <f t="shared" si="29"/>
        <v>0</v>
      </c>
    </row>
    <row r="26" spans="1:56">
      <c r="A26" s="1" t="s">
        <v>20</v>
      </c>
      <c r="B26" s="1" t="s">
        <v>42</v>
      </c>
      <c r="C26" s="1" t="s">
        <v>22</v>
      </c>
      <c r="D26" s="1" t="s">
        <v>43</v>
      </c>
      <c r="E26" s="51" t="s">
        <v>107</v>
      </c>
      <c r="F26" s="51" t="s">
        <v>265</v>
      </c>
      <c r="G26" s="51" t="s">
        <v>109</v>
      </c>
      <c r="H26" s="1" t="s">
        <v>716</v>
      </c>
      <c r="I26" s="1" t="s">
        <v>147</v>
      </c>
      <c r="J26" s="51" t="s">
        <v>148</v>
      </c>
      <c r="K26" s="51" t="s">
        <v>112</v>
      </c>
      <c r="L26" s="51" t="s">
        <v>112</v>
      </c>
      <c r="M26" s="1">
        <v>1983875</v>
      </c>
      <c r="N26" s="52" t="s">
        <v>799</v>
      </c>
      <c r="O26" s="55">
        <f>DATE(2015,3,9)</f>
        <v>42072</v>
      </c>
      <c r="P26" s="55">
        <f>DATE(2019,12,30)</f>
        <v>43829</v>
      </c>
      <c r="Q26" s="51">
        <v>4650</v>
      </c>
      <c r="S26" s="51">
        <v>2.5</v>
      </c>
      <c r="U26" s="1">
        <f t="shared" si="0"/>
        <v>1758</v>
      </c>
      <c r="V26" s="31">
        <f t="shared" si="1"/>
        <v>2.6450511945392492</v>
      </c>
      <c r="W26" s="31">
        <f t="shared" si="2"/>
        <v>965.44368600682594</v>
      </c>
      <c r="X26" s="31">
        <f t="shared" si="3"/>
        <v>1.2068046075085324</v>
      </c>
      <c r="AA26" s="32">
        <f t="shared" si="4"/>
        <v>42552</v>
      </c>
      <c r="AB26" s="32">
        <f t="shared" si="5"/>
        <v>42735</v>
      </c>
      <c r="AC26" s="52">
        <v>25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1.2068046075085324</v>
      </c>
      <c r="AK26" s="23">
        <f t="shared" si="13"/>
        <v>30.170115187713307</v>
      </c>
      <c r="AL26" s="23">
        <f t="shared" si="14"/>
        <v>75.425287969283261</v>
      </c>
      <c r="AM26" s="23">
        <f t="shared" si="15"/>
        <v>37.71264398464163</v>
      </c>
      <c r="AN26" s="23">
        <f t="shared" si="16"/>
        <v>113.13793195392489</v>
      </c>
      <c r="AQ26" s="32">
        <f t="shared" si="17"/>
        <v>42736</v>
      </c>
      <c r="AR26" s="32">
        <f t="shared" si="18"/>
        <v>42916</v>
      </c>
      <c r="AS26" s="52">
        <v>21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1.2068046075085324</v>
      </c>
      <c r="BA26" s="23">
        <f t="shared" si="26"/>
        <v>25.342896757679178</v>
      </c>
      <c r="BB26" s="23">
        <f t="shared" si="27"/>
        <v>63.357241894197941</v>
      </c>
      <c r="BC26" s="23">
        <f t="shared" si="28"/>
        <v>31.67862094709897</v>
      </c>
      <c r="BD26" s="23">
        <f t="shared" si="29"/>
        <v>95.035862841296904</v>
      </c>
    </row>
    <row r="27" spans="1:56">
      <c r="A27" s="1" t="s">
        <v>20</v>
      </c>
      <c r="B27" s="1" t="s">
        <v>42</v>
      </c>
      <c r="C27" s="1" t="s">
        <v>22</v>
      </c>
      <c r="D27" s="1" t="s">
        <v>43</v>
      </c>
      <c r="E27" s="51" t="s">
        <v>107</v>
      </c>
      <c r="F27" s="51" t="s">
        <v>108</v>
      </c>
      <c r="G27" s="51" t="s">
        <v>109</v>
      </c>
      <c r="H27" s="1" t="s">
        <v>642</v>
      </c>
      <c r="I27" s="1" t="s">
        <v>147</v>
      </c>
      <c r="J27" s="51" t="s">
        <v>148</v>
      </c>
      <c r="K27" s="51" t="s">
        <v>112</v>
      </c>
      <c r="L27" s="51" t="s">
        <v>112</v>
      </c>
      <c r="M27" s="1">
        <v>1983998</v>
      </c>
      <c r="N27" s="50" t="s">
        <v>800</v>
      </c>
      <c r="O27" s="55">
        <f>DATE(2015,3,9)</f>
        <v>42072</v>
      </c>
      <c r="P27" s="55">
        <f>DATE(2016,12,30)</f>
        <v>42734</v>
      </c>
      <c r="Q27" s="51">
        <v>1500</v>
      </c>
      <c r="S27" s="51">
        <v>2.5</v>
      </c>
      <c r="U27" s="1">
        <f t="shared" si="0"/>
        <v>663</v>
      </c>
      <c r="V27" s="31">
        <f t="shared" si="1"/>
        <v>2.2624434389140271</v>
      </c>
      <c r="W27" s="31">
        <f t="shared" si="2"/>
        <v>825.79185520361989</v>
      </c>
      <c r="X27" s="31">
        <f t="shared" si="3"/>
        <v>1.0322398190045248</v>
      </c>
      <c r="AA27" s="32">
        <f t="shared" si="4"/>
        <v>42552</v>
      </c>
      <c r="AB27" s="32">
        <f t="shared" si="5"/>
        <v>42735</v>
      </c>
      <c r="AC27" s="50">
        <v>34</v>
      </c>
      <c r="AD27" s="1">
        <f t="shared" si="6"/>
        <v>0</v>
      </c>
      <c r="AE27" s="1">
        <f t="shared" si="7"/>
        <v>0</v>
      </c>
      <c r="AF27" s="1">
        <f t="shared" si="8"/>
        <v>183</v>
      </c>
      <c r="AG27" s="1">
        <f t="shared" si="9"/>
        <v>0</v>
      </c>
      <c r="AH27" s="1">
        <f t="shared" si="10"/>
        <v>0</v>
      </c>
      <c r="AI27" s="23">
        <f t="shared" si="11"/>
        <v>0.99456521739130432</v>
      </c>
      <c r="AJ27" s="23">
        <f t="shared" si="12"/>
        <v>1.0266298199881958</v>
      </c>
      <c r="AK27" s="23">
        <f t="shared" si="13"/>
        <v>34.905413879598655</v>
      </c>
      <c r="AL27" s="23">
        <f t="shared" si="14"/>
        <v>87.263534698996637</v>
      </c>
      <c r="AM27" s="23">
        <f t="shared" si="15"/>
        <v>43.631767349498318</v>
      </c>
      <c r="AN27" s="23">
        <f t="shared" si="16"/>
        <v>130.89530204849495</v>
      </c>
      <c r="AQ27" s="32">
        <f t="shared" si="17"/>
        <v>42736</v>
      </c>
      <c r="AR27" s="32">
        <f t="shared" si="18"/>
        <v>42916</v>
      </c>
      <c r="AS27" s="50">
        <v>26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0.51611990950226239</v>
      </c>
      <c r="BA27" s="23">
        <f t="shared" si="26"/>
        <v>6.7095588235294112</v>
      </c>
      <c r="BB27" s="23">
        <f t="shared" si="27"/>
        <v>16.773897058823529</v>
      </c>
      <c r="BC27" s="23">
        <f t="shared" si="28"/>
        <v>8.3869485294117645</v>
      </c>
      <c r="BD27" s="23">
        <f t="shared" si="29"/>
        <v>25.160845588235293</v>
      </c>
    </row>
    <row r="28" spans="1:56">
      <c r="A28" s="1" t="s">
        <v>20</v>
      </c>
      <c r="B28" s="1" t="s">
        <v>42</v>
      </c>
      <c r="C28" s="1" t="s">
        <v>22</v>
      </c>
      <c r="D28" s="1" t="s">
        <v>43</v>
      </c>
      <c r="E28" s="51" t="s">
        <v>107</v>
      </c>
      <c r="F28" s="51" t="s">
        <v>108</v>
      </c>
      <c r="G28" s="51" t="s">
        <v>109</v>
      </c>
      <c r="H28" s="1" t="s">
        <v>124</v>
      </c>
      <c r="I28" s="1" t="s">
        <v>125</v>
      </c>
      <c r="J28" s="51" t="s">
        <v>112</v>
      </c>
      <c r="K28" s="51" t="s">
        <v>112</v>
      </c>
      <c r="L28" s="51" t="s">
        <v>112</v>
      </c>
      <c r="M28" s="1">
        <v>1984001</v>
      </c>
      <c r="N28" s="52" t="s">
        <v>801</v>
      </c>
      <c r="O28" s="55">
        <f>DATE(2015,3,9)</f>
        <v>42072</v>
      </c>
      <c r="P28" s="55">
        <f>DATE(2018,12,30)</f>
        <v>43464</v>
      </c>
      <c r="Q28" s="51">
        <v>3895</v>
      </c>
      <c r="S28" s="51">
        <v>2.5</v>
      </c>
      <c r="U28" s="1">
        <f t="shared" si="0"/>
        <v>1393</v>
      </c>
      <c r="V28" s="31">
        <f t="shared" si="1"/>
        <v>2.7961234745154342</v>
      </c>
      <c r="W28" s="31">
        <f t="shared" si="2"/>
        <v>1020.5850681981335</v>
      </c>
      <c r="X28" s="31">
        <f t="shared" si="3"/>
        <v>1.2757313352476669</v>
      </c>
      <c r="AA28" s="32">
        <f t="shared" si="4"/>
        <v>42552</v>
      </c>
      <c r="AB28" s="32">
        <f t="shared" si="5"/>
        <v>42735</v>
      </c>
      <c r="AC28" s="52">
        <v>31</v>
      </c>
      <c r="AD28" s="1">
        <f t="shared" si="6"/>
        <v>184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1.2757313352476669</v>
      </c>
      <c r="AK28" s="23">
        <f t="shared" si="13"/>
        <v>39.547671392677671</v>
      </c>
      <c r="AL28" s="23">
        <f t="shared" si="14"/>
        <v>98.869178481694178</v>
      </c>
      <c r="AM28" s="23">
        <f t="shared" si="15"/>
        <v>0</v>
      </c>
      <c r="AN28" s="23">
        <f t="shared" si="16"/>
        <v>98.869178481694178</v>
      </c>
      <c r="AQ28" s="32">
        <f t="shared" si="17"/>
        <v>42736</v>
      </c>
      <c r="AR28" s="32">
        <f t="shared" si="18"/>
        <v>42916</v>
      </c>
      <c r="AS28" s="52">
        <v>31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1.2757313352476669</v>
      </c>
      <c r="BA28" s="23">
        <f t="shared" si="26"/>
        <v>39.547671392677671</v>
      </c>
      <c r="BB28" s="23">
        <f t="shared" si="27"/>
        <v>98.869178481694178</v>
      </c>
      <c r="BC28" s="23">
        <f t="shared" si="28"/>
        <v>0</v>
      </c>
      <c r="BD28" s="23">
        <f t="shared" si="29"/>
        <v>98.869178481694178</v>
      </c>
    </row>
    <row r="29" spans="1:56">
      <c r="A29" s="1" t="s">
        <v>20</v>
      </c>
      <c r="B29" s="1" t="s">
        <v>42</v>
      </c>
      <c r="C29" s="1" t="s">
        <v>22</v>
      </c>
      <c r="D29" s="1" t="s">
        <v>43</v>
      </c>
      <c r="E29" s="51" t="s">
        <v>107</v>
      </c>
      <c r="F29" s="51" t="s">
        <v>108</v>
      </c>
      <c r="G29" s="51" t="s">
        <v>109</v>
      </c>
      <c r="H29" s="1" t="s">
        <v>179</v>
      </c>
      <c r="I29" s="1" t="s">
        <v>125</v>
      </c>
      <c r="J29" s="51" t="s">
        <v>112</v>
      </c>
      <c r="K29" s="51" t="s">
        <v>112</v>
      </c>
      <c r="L29" s="51" t="s">
        <v>112</v>
      </c>
      <c r="M29" s="1">
        <v>1984002</v>
      </c>
      <c r="N29" s="50" t="s">
        <v>802</v>
      </c>
      <c r="O29" s="55">
        <f>DATE(2015,3,9)</f>
        <v>42072</v>
      </c>
      <c r="P29" s="55">
        <f>DATE(2016,12,30)</f>
        <v>42734</v>
      </c>
      <c r="Q29" s="51">
        <v>1380</v>
      </c>
      <c r="S29" s="51">
        <v>2</v>
      </c>
      <c r="U29" s="1">
        <f t="shared" si="0"/>
        <v>663</v>
      </c>
      <c r="V29" s="31">
        <f t="shared" si="1"/>
        <v>2.0814479638009051</v>
      </c>
      <c r="W29" s="31">
        <f t="shared" si="2"/>
        <v>759.72850678733039</v>
      </c>
      <c r="X29" s="31">
        <f t="shared" si="3"/>
        <v>0.94966063348416296</v>
      </c>
      <c r="AA29" s="32">
        <f t="shared" si="4"/>
        <v>42552</v>
      </c>
      <c r="AB29" s="32">
        <f t="shared" si="5"/>
        <v>42735</v>
      </c>
      <c r="AC29" s="50">
        <v>34</v>
      </c>
      <c r="AD29" s="1">
        <f t="shared" si="6"/>
        <v>0</v>
      </c>
      <c r="AE29" s="1">
        <f t="shared" si="7"/>
        <v>0</v>
      </c>
      <c r="AF29" s="1">
        <f t="shared" si="8"/>
        <v>183</v>
      </c>
      <c r="AG29" s="1">
        <f t="shared" si="9"/>
        <v>0</v>
      </c>
      <c r="AH29" s="1">
        <f t="shared" si="10"/>
        <v>0</v>
      </c>
      <c r="AI29" s="23">
        <f t="shared" si="11"/>
        <v>0.99456521739130432</v>
      </c>
      <c r="AJ29" s="23">
        <f t="shared" si="12"/>
        <v>0.9444994343891403</v>
      </c>
      <c r="AK29" s="23">
        <f t="shared" si="13"/>
        <v>32.112980769230774</v>
      </c>
      <c r="AL29" s="23">
        <f t="shared" si="14"/>
        <v>64.225961538461547</v>
      </c>
      <c r="AM29" s="23">
        <f t="shared" si="15"/>
        <v>0</v>
      </c>
      <c r="AN29" s="23">
        <f t="shared" si="16"/>
        <v>64.225961538461547</v>
      </c>
      <c r="AQ29" s="32">
        <f t="shared" si="17"/>
        <v>42736</v>
      </c>
      <c r="AR29" s="32">
        <f t="shared" si="18"/>
        <v>42916</v>
      </c>
      <c r="AS29" s="50">
        <v>34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0.47483031674208148</v>
      </c>
      <c r="BA29" s="23">
        <f t="shared" si="26"/>
        <v>8.072115384615385</v>
      </c>
      <c r="BB29" s="23">
        <f t="shared" si="27"/>
        <v>16.14423076923077</v>
      </c>
      <c r="BC29" s="23">
        <f t="shared" si="28"/>
        <v>0</v>
      </c>
      <c r="BD29" s="23">
        <f t="shared" si="29"/>
        <v>16.14423076923077</v>
      </c>
    </row>
    <row r="30" spans="1:56">
      <c r="A30" s="1" t="s">
        <v>20</v>
      </c>
      <c r="B30" s="1" t="s">
        <v>42</v>
      </c>
      <c r="C30" s="1" t="s">
        <v>22</v>
      </c>
      <c r="D30" s="1" t="s">
        <v>43</v>
      </c>
      <c r="E30" s="51" t="s">
        <v>107</v>
      </c>
      <c r="F30" s="51" t="s">
        <v>108</v>
      </c>
      <c r="G30" s="51" t="s">
        <v>109</v>
      </c>
      <c r="H30" s="1" t="s">
        <v>161</v>
      </c>
      <c r="I30" s="1" t="s">
        <v>131</v>
      </c>
      <c r="J30" s="51" t="s">
        <v>112</v>
      </c>
      <c r="K30" s="51" t="s">
        <v>112</v>
      </c>
      <c r="L30" s="51" t="s">
        <v>112</v>
      </c>
      <c r="M30" s="1">
        <v>1984675</v>
      </c>
      <c r="N30" s="50" t="s">
        <v>803</v>
      </c>
      <c r="O30" s="55">
        <f>DATE(2015,3,9)</f>
        <v>42072</v>
      </c>
      <c r="P30" s="55">
        <f>DATE(2016,12,30)</f>
        <v>42734</v>
      </c>
      <c r="Q30" s="51">
        <v>1400</v>
      </c>
      <c r="S30" s="51">
        <v>2.5</v>
      </c>
      <c r="U30" s="1">
        <f t="shared" si="0"/>
        <v>663</v>
      </c>
      <c r="V30" s="31">
        <f t="shared" si="1"/>
        <v>2.1116138763197587</v>
      </c>
      <c r="W30" s="31">
        <f t="shared" si="2"/>
        <v>770.73906485671193</v>
      </c>
      <c r="X30" s="31">
        <f t="shared" si="3"/>
        <v>0.96342383107088991</v>
      </c>
      <c r="AA30" s="32">
        <f t="shared" si="4"/>
        <v>42552</v>
      </c>
      <c r="AB30" s="32">
        <f t="shared" si="5"/>
        <v>42735</v>
      </c>
      <c r="AC30" s="50">
        <v>39</v>
      </c>
      <c r="AD30" s="1">
        <f t="shared" si="6"/>
        <v>0</v>
      </c>
      <c r="AE30" s="1">
        <f t="shared" si="7"/>
        <v>0</v>
      </c>
      <c r="AF30" s="1">
        <f t="shared" si="8"/>
        <v>183</v>
      </c>
      <c r="AG30" s="1">
        <f t="shared" si="9"/>
        <v>0</v>
      </c>
      <c r="AH30" s="1">
        <f t="shared" si="10"/>
        <v>0</v>
      </c>
      <c r="AI30" s="23">
        <f t="shared" si="11"/>
        <v>0.99456521739130432</v>
      </c>
      <c r="AJ30" s="23">
        <f t="shared" si="12"/>
        <v>0.95818783198898283</v>
      </c>
      <c r="AK30" s="23">
        <f t="shared" si="13"/>
        <v>37.369325447570333</v>
      </c>
      <c r="AL30" s="23">
        <f t="shared" si="14"/>
        <v>93.423313618925832</v>
      </c>
      <c r="AM30" s="23">
        <f t="shared" si="15"/>
        <v>0</v>
      </c>
      <c r="AN30" s="23">
        <f t="shared" si="16"/>
        <v>93.423313618925832</v>
      </c>
      <c r="AQ30" s="32">
        <f t="shared" si="17"/>
        <v>42736</v>
      </c>
      <c r="AR30" s="32">
        <f t="shared" si="18"/>
        <v>42916</v>
      </c>
      <c r="AS30" s="50">
        <v>35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0.48171191553544496</v>
      </c>
      <c r="BA30" s="23">
        <f t="shared" si="26"/>
        <v>8.4299585218702866</v>
      </c>
      <c r="BB30" s="23">
        <f t="shared" si="27"/>
        <v>21.074896304675718</v>
      </c>
      <c r="BC30" s="23">
        <f t="shared" si="28"/>
        <v>0</v>
      </c>
      <c r="BD30" s="23">
        <f t="shared" si="29"/>
        <v>21.074896304675718</v>
      </c>
    </row>
    <row r="31" spans="1:56">
      <c r="A31" s="1" t="s">
        <v>20</v>
      </c>
      <c r="B31" s="1" t="s">
        <v>42</v>
      </c>
      <c r="C31" s="1" t="s">
        <v>22</v>
      </c>
      <c r="D31" s="1" t="s">
        <v>43</v>
      </c>
      <c r="E31" s="51" t="s">
        <v>107</v>
      </c>
      <c r="F31" s="51" t="s">
        <v>108</v>
      </c>
      <c r="G31" s="51" t="s">
        <v>109</v>
      </c>
      <c r="H31" s="1" t="s">
        <v>804</v>
      </c>
      <c r="I31" s="1" t="s">
        <v>234</v>
      </c>
      <c r="J31" s="51" t="s">
        <v>112</v>
      </c>
      <c r="K31" s="51" t="s">
        <v>112</v>
      </c>
      <c r="L31" s="51" t="s">
        <v>112</v>
      </c>
      <c r="M31" s="1">
        <v>1985496</v>
      </c>
      <c r="N31" s="50" t="s">
        <v>805</v>
      </c>
      <c r="O31" s="55">
        <f>DATE(2015,4,1)</f>
        <v>42095</v>
      </c>
      <c r="P31" s="55">
        <f>DATE(2016,12,31)</f>
        <v>42735</v>
      </c>
      <c r="Q31" s="51">
        <v>860</v>
      </c>
      <c r="S31" s="51">
        <v>1</v>
      </c>
      <c r="U31" s="1">
        <f t="shared" si="0"/>
        <v>641</v>
      </c>
      <c r="V31" s="31">
        <f t="shared" si="1"/>
        <v>1.3416536661466458</v>
      </c>
      <c r="W31" s="31">
        <f t="shared" si="2"/>
        <v>489.70358814352574</v>
      </c>
      <c r="X31" s="31">
        <f t="shared" si="3"/>
        <v>0.61212948517940713</v>
      </c>
      <c r="AA31" s="32">
        <f t="shared" si="4"/>
        <v>42552</v>
      </c>
      <c r="AB31" s="32">
        <f t="shared" si="5"/>
        <v>42735</v>
      </c>
      <c r="AC31" s="50">
        <v>24</v>
      </c>
      <c r="AD31" s="1">
        <f t="shared" si="6"/>
        <v>0</v>
      </c>
      <c r="AE31" s="1">
        <f t="shared" si="7"/>
        <v>0</v>
      </c>
      <c r="AF31" s="1">
        <f t="shared" si="8"/>
        <v>184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0.61212948517940713</v>
      </c>
      <c r="AK31" s="23">
        <f t="shared" si="13"/>
        <v>14.69110764430577</v>
      </c>
      <c r="AL31" s="23">
        <f t="shared" si="14"/>
        <v>14.69110764430577</v>
      </c>
      <c r="AM31" s="23">
        <f t="shared" si="15"/>
        <v>0</v>
      </c>
      <c r="AN31" s="23">
        <f t="shared" si="16"/>
        <v>14.69110764430577</v>
      </c>
      <c r="AQ31" s="32">
        <f t="shared" si="17"/>
        <v>42736</v>
      </c>
      <c r="AR31" s="32">
        <f t="shared" si="18"/>
        <v>42916</v>
      </c>
      <c r="AS31" s="50">
        <v>24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0.30606474258970356</v>
      </c>
      <c r="BA31" s="23">
        <f t="shared" si="26"/>
        <v>3.6727769110764426</v>
      </c>
      <c r="BB31" s="23">
        <f t="shared" si="27"/>
        <v>3.6727769110764426</v>
      </c>
      <c r="BC31" s="23">
        <f t="shared" si="28"/>
        <v>0</v>
      </c>
      <c r="BD31" s="23">
        <f t="shared" si="29"/>
        <v>3.6727769110764426</v>
      </c>
    </row>
    <row r="32" spans="1:56">
      <c r="A32" s="1" t="s">
        <v>20</v>
      </c>
      <c r="B32" s="1" t="s">
        <v>42</v>
      </c>
      <c r="C32" s="1" t="s">
        <v>22</v>
      </c>
      <c r="D32" s="1" t="s">
        <v>43</v>
      </c>
      <c r="E32" s="51" t="s">
        <v>107</v>
      </c>
      <c r="F32" s="51" t="s">
        <v>294</v>
      </c>
      <c r="G32" s="51" t="s">
        <v>109</v>
      </c>
      <c r="H32" s="1" t="s">
        <v>778</v>
      </c>
      <c r="I32" s="1" t="s">
        <v>234</v>
      </c>
      <c r="J32" s="51" t="s">
        <v>112</v>
      </c>
      <c r="K32" s="51" t="s">
        <v>112</v>
      </c>
      <c r="L32" s="51" t="s">
        <v>112</v>
      </c>
      <c r="M32" s="1">
        <v>2021128</v>
      </c>
      <c r="N32" s="52" t="s">
        <v>806</v>
      </c>
      <c r="O32" s="55">
        <f>DATE(2016,3,14)</f>
        <v>42443</v>
      </c>
      <c r="P32" s="55">
        <f>DATE(2019,12,31)</f>
        <v>43830</v>
      </c>
      <c r="Q32" s="51">
        <v>2570</v>
      </c>
      <c r="S32" s="51">
        <v>1</v>
      </c>
      <c r="U32" s="1">
        <f t="shared" si="0"/>
        <v>1388</v>
      </c>
      <c r="V32" s="31">
        <f t="shared" si="1"/>
        <v>1.8515850144092219</v>
      </c>
      <c r="W32" s="31">
        <f t="shared" si="2"/>
        <v>675.82853025936595</v>
      </c>
      <c r="X32" s="31">
        <f t="shared" si="3"/>
        <v>0.84478566282420742</v>
      </c>
      <c r="AA32" s="32">
        <f t="shared" si="4"/>
        <v>42552</v>
      </c>
      <c r="AB32" s="32">
        <f t="shared" si="5"/>
        <v>42735</v>
      </c>
      <c r="AC32" s="52">
        <v>35</v>
      </c>
      <c r="AD32" s="1">
        <f t="shared" si="6"/>
        <v>184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1</v>
      </c>
      <c r="AJ32" s="23">
        <f t="shared" si="12"/>
        <v>0.84478566282420742</v>
      </c>
      <c r="AK32" s="23">
        <f t="shared" si="13"/>
        <v>29.567498198847261</v>
      </c>
      <c r="AL32" s="23">
        <f t="shared" si="14"/>
        <v>29.567498198847261</v>
      </c>
      <c r="AM32" s="23">
        <f t="shared" si="15"/>
        <v>0</v>
      </c>
      <c r="AN32" s="23">
        <f t="shared" si="16"/>
        <v>29.567498198847261</v>
      </c>
      <c r="AQ32" s="32">
        <f t="shared" si="17"/>
        <v>42736</v>
      </c>
      <c r="AR32" s="32">
        <f t="shared" si="18"/>
        <v>42916</v>
      </c>
      <c r="AS32" s="52">
        <v>34</v>
      </c>
      <c r="AT32" s="1">
        <f t="shared" si="19"/>
        <v>181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1</v>
      </c>
      <c r="AZ32" s="23">
        <f t="shared" si="25"/>
        <v>0.84478566282420742</v>
      </c>
      <c r="BA32" s="23">
        <f t="shared" si="26"/>
        <v>28.722712536023053</v>
      </c>
      <c r="BB32" s="23">
        <f t="shared" si="27"/>
        <v>28.722712536023053</v>
      </c>
      <c r="BC32" s="23">
        <f t="shared" si="28"/>
        <v>0</v>
      </c>
      <c r="BD32" s="23">
        <f t="shared" si="29"/>
        <v>28.722712536023053</v>
      </c>
    </row>
    <row r="33" spans="1:56">
      <c r="A33" s="1" t="s">
        <v>20</v>
      </c>
      <c r="B33" s="1" t="s">
        <v>42</v>
      </c>
      <c r="C33" s="1" t="s">
        <v>22</v>
      </c>
      <c r="D33" s="1" t="s">
        <v>43</v>
      </c>
      <c r="E33" s="51" t="s">
        <v>107</v>
      </c>
      <c r="F33" s="51" t="s">
        <v>265</v>
      </c>
      <c r="G33" s="51" t="s">
        <v>109</v>
      </c>
      <c r="H33" s="1" t="s">
        <v>716</v>
      </c>
      <c r="I33" s="1" t="s">
        <v>147</v>
      </c>
      <c r="J33" s="51" t="s">
        <v>148</v>
      </c>
      <c r="K33" s="51" t="s">
        <v>112</v>
      </c>
      <c r="L33" s="51" t="s">
        <v>112</v>
      </c>
      <c r="M33" s="1">
        <v>2021130</v>
      </c>
      <c r="N33" s="52" t="s">
        <v>807</v>
      </c>
      <c r="O33" s="55">
        <f>DATE(2016,3,14)</f>
        <v>42443</v>
      </c>
      <c r="P33" s="55">
        <f>DATE(2020,12,31)</f>
        <v>44196</v>
      </c>
      <c r="Q33" s="51">
        <v>4650</v>
      </c>
      <c r="S33" s="51">
        <v>2.5</v>
      </c>
      <c r="U33" s="1">
        <f t="shared" si="0"/>
        <v>1754</v>
      </c>
      <c r="V33" s="31">
        <f t="shared" si="1"/>
        <v>2.6510832383124288</v>
      </c>
      <c r="W33" s="31">
        <f t="shared" si="2"/>
        <v>967.64538198403648</v>
      </c>
      <c r="X33" s="31">
        <f t="shared" si="3"/>
        <v>1.2095567274800456</v>
      </c>
      <c r="AA33" s="32">
        <f t="shared" si="4"/>
        <v>42552</v>
      </c>
      <c r="AB33" s="32">
        <f t="shared" si="5"/>
        <v>42735</v>
      </c>
      <c r="AC33" s="52">
        <v>24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1.2095567274800456</v>
      </c>
      <c r="AK33" s="23">
        <f t="shared" si="13"/>
        <v>29.029361459521095</v>
      </c>
      <c r="AL33" s="23">
        <f t="shared" si="14"/>
        <v>72.573403648802739</v>
      </c>
      <c r="AM33" s="23">
        <f t="shared" si="15"/>
        <v>36.286701824401369</v>
      </c>
      <c r="AN33" s="23">
        <f t="shared" si="16"/>
        <v>108.8601054732041</v>
      </c>
      <c r="AQ33" s="32">
        <f t="shared" si="17"/>
        <v>42736</v>
      </c>
      <c r="AR33" s="32">
        <f t="shared" si="18"/>
        <v>42916</v>
      </c>
      <c r="AS33" s="52">
        <v>24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1.2095567274800456</v>
      </c>
      <c r="BA33" s="23">
        <f t="shared" si="26"/>
        <v>29.029361459521095</v>
      </c>
      <c r="BB33" s="23">
        <f t="shared" si="27"/>
        <v>72.573403648802739</v>
      </c>
      <c r="BC33" s="23">
        <f t="shared" si="28"/>
        <v>36.286701824401369</v>
      </c>
      <c r="BD33" s="23">
        <f t="shared" si="29"/>
        <v>108.8601054732041</v>
      </c>
    </row>
    <row r="34" spans="1:56">
      <c r="A34" s="1" t="s">
        <v>20</v>
      </c>
      <c r="B34" s="1" t="s">
        <v>42</v>
      </c>
      <c r="C34" s="1" t="s">
        <v>22</v>
      </c>
      <c r="D34" s="1" t="s">
        <v>43</v>
      </c>
      <c r="E34" s="51" t="s">
        <v>107</v>
      </c>
      <c r="F34" s="51" t="s">
        <v>294</v>
      </c>
      <c r="G34" s="51" t="s">
        <v>109</v>
      </c>
      <c r="H34" s="1" t="s">
        <v>778</v>
      </c>
      <c r="I34" s="1" t="s">
        <v>234</v>
      </c>
      <c r="J34" s="51" t="s">
        <v>112</v>
      </c>
      <c r="K34" s="51" t="s">
        <v>112</v>
      </c>
      <c r="L34" s="51" t="s">
        <v>112</v>
      </c>
      <c r="M34" s="1">
        <v>2023908</v>
      </c>
      <c r="N34" s="52" t="s">
        <v>808</v>
      </c>
      <c r="O34" s="55">
        <f>DATE(2015,8,3)</f>
        <v>42219</v>
      </c>
      <c r="P34" s="55">
        <f>DATE(2018,12,31)</f>
        <v>43465</v>
      </c>
      <c r="Q34" s="51">
        <v>2570</v>
      </c>
      <c r="S34" s="51">
        <v>1</v>
      </c>
      <c r="U34" s="1">
        <f t="shared" si="0"/>
        <v>1247</v>
      </c>
      <c r="V34" s="31">
        <f t="shared" si="1"/>
        <v>2.0609462710505211</v>
      </c>
      <c r="W34" s="31">
        <f t="shared" si="2"/>
        <v>752.24538893344015</v>
      </c>
      <c r="X34" s="31">
        <f t="shared" si="3"/>
        <v>0.94030673616680016</v>
      </c>
      <c r="AA34" s="32">
        <f t="shared" si="4"/>
        <v>42552</v>
      </c>
      <c r="AB34" s="32">
        <f t="shared" si="5"/>
        <v>42735</v>
      </c>
      <c r="AC34" s="52">
        <v>35</v>
      </c>
      <c r="AD34" s="1">
        <f t="shared" si="6"/>
        <v>184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0.94030673616680016</v>
      </c>
      <c r="AK34" s="23">
        <f t="shared" si="13"/>
        <v>32.910735765838005</v>
      </c>
      <c r="AL34" s="23">
        <f t="shared" si="14"/>
        <v>32.910735765838005</v>
      </c>
      <c r="AM34" s="23">
        <f t="shared" si="15"/>
        <v>0</v>
      </c>
      <c r="AN34" s="23">
        <f t="shared" si="16"/>
        <v>32.910735765838005</v>
      </c>
      <c r="AQ34" s="32">
        <f t="shared" si="17"/>
        <v>42736</v>
      </c>
      <c r="AR34" s="32">
        <f t="shared" si="18"/>
        <v>42916</v>
      </c>
      <c r="AS34" s="52">
        <v>35</v>
      </c>
      <c r="AT34" s="1">
        <f t="shared" si="19"/>
        <v>181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0</v>
      </c>
      <c r="AY34" s="23">
        <f t="shared" si="24"/>
        <v>1</v>
      </c>
      <c r="AZ34" s="23">
        <f t="shared" si="25"/>
        <v>0.94030673616680016</v>
      </c>
      <c r="BA34" s="23">
        <f t="shared" si="26"/>
        <v>32.910735765838005</v>
      </c>
      <c r="BB34" s="23">
        <f t="shared" si="27"/>
        <v>32.910735765838005</v>
      </c>
      <c r="BC34" s="23">
        <f t="shared" si="28"/>
        <v>0</v>
      </c>
      <c r="BD34" s="23">
        <f t="shared" si="29"/>
        <v>32.910735765838005</v>
      </c>
    </row>
    <row r="35" spans="1:56">
      <c r="A35" s="1" t="s">
        <v>20</v>
      </c>
      <c r="B35" s="1" t="s">
        <v>42</v>
      </c>
      <c r="C35" s="1" t="s">
        <v>22</v>
      </c>
      <c r="D35" s="1" t="s">
        <v>43</v>
      </c>
      <c r="E35" s="51" t="s">
        <v>107</v>
      </c>
      <c r="F35" s="51" t="s">
        <v>108</v>
      </c>
      <c r="G35" s="51" t="s">
        <v>109</v>
      </c>
      <c r="H35" s="1" t="s">
        <v>804</v>
      </c>
      <c r="I35" s="1" t="s">
        <v>234</v>
      </c>
      <c r="J35" s="51" t="s">
        <v>112</v>
      </c>
      <c r="K35" s="51" t="s">
        <v>112</v>
      </c>
      <c r="L35" s="51" t="s">
        <v>112</v>
      </c>
      <c r="M35" s="1">
        <v>2023909</v>
      </c>
      <c r="N35" s="51" t="s">
        <v>809</v>
      </c>
      <c r="O35" s="55">
        <f>DATE(2015,8,3)</f>
        <v>42219</v>
      </c>
      <c r="P35" s="55">
        <f>DATE(2017,6,30)</f>
        <v>42916</v>
      </c>
      <c r="Q35" s="51">
        <v>860</v>
      </c>
      <c r="S35" s="51">
        <v>1</v>
      </c>
      <c r="U35" s="1">
        <f t="shared" si="0"/>
        <v>698</v>
      </c>
      <c r="V35" s="31">
        <f t="shared" si="1"/>
        <v>1.2320916905444126</v>
      </c>
      <c r="W35" s="31">
        <f t="shared" si="2"/>
        <v>449.71346704871058</v>
      </c>
      <c r="X35" s="31">
        <f t="shared" si="3"/>
        <v>0.56214183381088823</v>
      </c>
      <c r="AA35" s="32">
        <f t="shared" si="4"/>
        <v>42552</v>
      </c>
      <c r="AB35" s="32">
        <f t="shared" si="5"/>
        <v>42735</v>
      </c>
      <c r="AC35" s="51">
        <v>17</v>
      </c>
      <c r="AD35" s="1">
        <f t="shared" si="6"/>
        <v>184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0.56214183381088823</v>
      </c>
      <c r="AK35" s="23">
        <f t="shared" si="13"/>
        <v>9.556411174785099</v>
      </c>
      <c r="AL35" s="23">
        <f t="shared" si="14"/>
        <v>9.556411174785099</v>
      </c>
      <c r="AM35" s="23">
        <f t="shared" si="15"/>
        <v>0</v>
      </c>
      <c r="AN35" s="23">
        <f t="shared" si="16"/>
        <v>9.556411174785099</v>
      </c>
      <c r="AQ35" s="32">
        <f t="shared" si="17"/>
        <v>42736</v>
      </c>
      <c r="AR35" s="32">
        <f t="shared" si="18"/>
        <v>42916</v>
      </c>
      <c r="AS35" s="51">
        <v>17</v>
      </c>
      <c r="AT35" s="1">
        <f t="shared" si="19"/>
        <v>0</v>
      </c>
      <c r="AU35" s="1">
        <f t="shared" si="20"/>
        <v>0</v>
      </c>
      <c r="AV35" s="1">
        <f t="shared" si="21"/>
        <v>181</v>
      </c>
      <c r="AW35" s="1">
        <f t="shared" si="22"/>
        <v>0</v>
      </c>
      <c r="AX35" s="1">
        <f t="shared" si="23"/>
        <v>0</v>
      </c>
      <c r="AY35" s="23">
        <f t="shared" si="24"/>
        <v>1</v>
      </c>
      <c r="AZ35" s="23">
        <f t="shared" si="25"/>
        <v>0.56214183381088823</v>
      </c>
      <c r="BA35" s="23">
        <f t="shared" si="26"/>
        <v>9.556411174785099</v>
      </c>
      <c r="BB35" s="23">
        <f t="shared" si="27"/>
        <v>9.556411174785099</v>
      </c>
      <c r="BC35" s="23">
        <f t="shared" si="28"/>
        <v>0</v>
      </c>
      <c r="BD35" s="23">
        <f t="shared" si="29"/>
        <v>9.556411174785099</v>
      </c>
    </row>
    <row r="36" spans="1:56">
      <c r="A36" s="1" t="s">
        <v>20</v>
      </c>
      <c r="B36" s="1" t="s">
        <v>42</v>
      </c>
      <c r="C36" s="1" t="s">
        <v>22</v>
      </c>
      <c r="D36" s="1" t="s">
        <v>43</v>
      </c>
      <c r="E36" s="51" t="s">
        <v>107</v>
      </c>
      <c r="F36" s="51" t="s">
        <v>108</v>
      </c>
      <c r="G36" s="51" t="s">
        <v>109</v>
      </c>
      <c r="H36" s="1" t="s">
        <v>642</v>
      </c>
      <c r="I36" s="1" t="s">
        <v>147</v>
      </c>
      <c r="J36" s="51" t="s">
        <v>148</v>
      </c>
      <c r="K36" s="51" t="s">
        <v>112</v>
      </c>
      <c r="L36" s="51" t="s">
        <v>112</v>
      </c>
      <c r="M36" s="1">
        <v>2032817</v>
      </c>
      <c r="N36" s="52" t="s">
        <v>810</v>
      </c>
      <c r="O36" s="55">
        <f>DATE(2016,6,14)</f>
        <v>42535</v>
      </c>
      <c r="P36" s="55">
        <f>DATE(2020,6,30)</f>
        <v>44012</v>
      </c>
      <c r="Q36" s="51">
        <v>1500</v>
      </c>
      <c r="S36" s="51">
        <v>2.5</v>
      </c>
      <c r="U36" s="1">
        <f t="shared" si="0"/>
        <v>1478</v>
      </c>
      <c r="V36" s="31">
        <f t="shared" si="1"/>
        <v>1.0148849797023005</v>
      </c>
      <c r="W36" s="31">
        <f t="shared" si="2"/>
        <v>370.43301759133971</v>
      </c>
      <c r="X36" s="31">
        <f t="shared" si="3"/>
        <v>0.46304127198917461</v>
      </c>
      <c r="AA36" s="32">
        <f t="shared" si="4"/>
        <v>42552</v>
      </c>
      <c r="AB36" s="32">
        <f t="shared" si="5"/>
        <v>42735</v>
      </c>
      <c r="AC36" s="52">
        <v>40</v>
      </c>
      <c r="AD36" s="1">
        <f t="shared" si="6"/>
        <v>184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0</v>
      </c>
      <c r="AI36" s="23">
        <f t="shared" si="11"/>
        <v>1</v>
      </c>
      <c r="AJ36" s="23">
        <f t="shared" si="12"/>
        <v>0.46304127198917461</v>
      </c>
      <c r="AK36" s="23">
        <f t="shared" si="13"/>
        <v>18.521650879566984</v>
      </c>
      <c r="AL36" s="23">
        <f t="shared" si="14"/>
        <v>46.304127198917456</v>
      </c>
      <c r="AM36" s="23">
        <f t="shared" si="15"/>
        <v>23.152063599458728</v>
      </c>
      <c r="AN36" s="23">
        <f t="shared" si="16"/>
        <v>69.456190798376184</v>
      </c>
      <c r="AQ36" s="32">
        <f t="shared" si="17"/>
        <v>42736</v>
      </c>
      <c r="AR36" s="32">
        <f t="shared" si="18"/>
        <v>42916</v>
      </c>
      <c r="AS36" s="52">
        <v>38</v>
      </c>
      <c r="AT36" s="1">
        <f t="shared" si="19"/>
        <v>181</v>
      </c>
      <c r="AU36" s="1">
        <f t="shared" si="20"/>
        <v>0</v>
      </c>
      <c r="AV36" s="1">
        <f t="shared" si="21"/>
        <v>0</v>
      </c>
      <c r="AW36" s="1">
        <f t="shared" si="22"/>
        <v>0</v>
      </c>
      <c r="AX36" s="1">
        <f t="shared" si="23"/>
        <v>0</v>
      </c>
      <c r="AY36" s="23">
        <f t="shared" si="24"/>
        <v>1</v>
      </c>
      <c r="AZ36" s="23">
        <f t="shared" si="25"/>
        <v>0.46304127198917461</v>
      </c>
      <c r="BA36" s="23">
        <f t="shared" si="26"/>
        <v>17.595568335588634</v>
      </c>
      <c r="BB36" s="23">
        <f t="shared" si="27"/>
        <v>43.988920838971588</v>
      </c>
      <c r="BC36" s="23">
        <f t="shared" si="28"/>
        <v>21.994460419485794</v>
      </c>
      <c r="BD36" s="23">
        <f t="shared" si="29"/>
        <v>65.983381258457385</v>
      </c>
    </row>
    <row r="37" spans="1:56">
      <c r="A37" s="1" t="s">
        <v>20</v>
      </c>
      <c r="B37" s="1" t="s">
        <v>42</v>
      </c>
      <c r="C37" s="1" t="s">
        <v>22</v>
      </c>
      <c r="D37" s="1" t="s">
        <v>43</v>
      </c>
      <c r="E37" s="51" t="s">
        <v>107</v>
      </c>
      <c r="F37" s="51" t="s">
        <v>108</v>
      </c>
      <c r="G37" s="51" t="s">
        <v>109</v>
      </c>
      <c r="H37" s="1" t="s">
        <v>124</v>
      </c>
      <c r="I37" s="1" t="s">
        <v>125</v>
      </c>
      <c r="J37" s="51" t="s">
        <v>112</v>
      </c>
      <c r="K37" s="51" t="s">
        <v>112</v>
      </c>
      <c r="L37" s="51" t="s">
        <v>112</v>
      </c>
      <c r="M37" s="1">
        <v>2032821</v>
      </c>
      <c r="N37" s="52" t="s">
        <v>520</v>
      </c>
      <c r="O37" s="55">
        <f>DATE(2016,6,14)</f>
        <v>42535</v>
      </c>
      <c r="P37" s="55">
        <f>DATE(2020,6,30)</f>
        <v>44012</v>
      </c>
      <c r="Q37" s="51">
        <v>1480</v>
      </c>
      <c r="S37" s="51">
        <v>2.5</v>
      </c>
      <c r="U37" s="1">
        <f t="shared" si="0"/>
        <v>1478</v>
      </c>
      <c r="V37" s="31">
        <f t="shared" si="1"/>
        <v>1.0013531799729365</v>
      </c>
      <c r="W37" s="31">
        <f t="shared" si="2"/>
        <v>365.49391069012182</v>
      </c>
      <c r="X37" s="31">
        <f t="shared" si="3"/>
        <v>0.45686738836265228</v>
      </c>
      <c r="AA37" s="32">
        <f t="shared" si="4"/>
        <v>42552</v>
      </c>
      <c r="AB37" s="32">
        <f t="shared" si="5"/>
        <v>42735</v>
      </c>
      <c r="AC37" s="52">
        <v>40</v>
      </c>
      <c r="AD37" s="1">
        <f t="shared" si="6"/>
        <v>184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0</v>
      </c>
      <c r="AI37" s="23">
        <f t="shared" si="11"/>
        <v>1</v>
      </c>
      <c r="AJ37" s="23">
        <f t="shared" si="12"/>
        <v>0.45686738836265228</v>
      </c>
      <c r="AK37" s="23">
        <f t="shared" si="13"/>
        <v>18.27469553450609</v>
      </c>
      <c r="AL37" s="23">
        <f t="shared" si="14"/>
        <v>45.686738836265228</v>
      </c>
      <c r="AM37" s="23">
        <f t="shared" si="15"/>
        <v>0</v>
      </c>
      <c r="AN37" s="23">
        <f t="shared" si="16"/>
        <v>45.686738836265228</v>
      </c>
      <c r="AQ37" s="32">
        <f t="shared" si="17"/>
        <v>42736</v>
      </c>
      <c r="AR37" s="32">
        <f t="shared" si="18"/>
        <v>42916</v>
      </c>
      <c r="AS37" s="52">
        <v>35</v>
      </c>
      <c r="AT37" s="1">
        <f t="shared" si="19"/>
        <v>181</v>
      </c>
      <c r="AU37" s="1">
        <f t="shared" si="20"/>
        <v>0</v>
      </c>
      <c r="AV37" s="1">
        <f t="shared" si="21"/>
        <v>0</v>
      </c>
      <c r="AW37" s="1">
        <f t="shared" si="22"/>
        <v>0</v>
      </c>
      <c r="AX37" s="1">
        <f t="shared" si="23"/>
        <v>0</v>
      </c>
      <c r="AY37" s="23">
        <f t="shared" si="24"/>
        <v>1</v>
      </c>
      <c r="AZ37" s="23">
        <f t="shared" si="25"/>
        <v>0.45686738836265228</v>
      </c>
      <c r="BA37" s="23">
        <f t="shared" si="26"/>
        <v>15.99035859269283</v>
      </c>
      <c r="BB37" s="23">
        <f t="shared" si="27"/>
        <v>39.975896481732079</v>
      </c>
      <c r="BC37" s="23">
        <f t="shared" si="28"/>
        <v>0</v>
      </c>
      <c r="BD37" s="23">
        <f t="shared" si="29"/>
        <v>39.975896481732079</v>
      </c>
    </row>
    <row r="38" spans="1:56">
      <c r="A38" s="1" t="s">
        <v>20</v>
      </c>
      <c r="B38" s="1" t="s">
        <v>42</v>
      </c>
      <c r="C38" s="1" t="s">
        <v>22</v>
      </c>
      <c r="D38" s="1" t="s">
        <v>43</v>
      </c>
      <c r="E38" s="51" t="s">
        <v>107</v>
      </c>
      <c r="F38" s="51" t="s">
        <v>108</v>
      </c>
      <c r="G38" s="51" t="s">
        <v>109</v>
      </c>
      <c r="H38" s="1" t="s">
        <v>179</v>
      </c>
      <c r="I38" s="1" t="s">
        <v>125</v>
      </c>
      <c r="J38" s="51" t="s">
        <v>112</v>
      </c>
      <c r="K38" s="51" t="s">
        <v>112</v>
      </c>
      <c r="L38" s="51" t="s">
        <v>112</v>
      </c>
      <c r="M38" s="1">
        <v>2032823</v>
      </c>
      <c r="N38" s="52" t="s">
        <v>811</v>
      </c>
      <c r="O38" s="55">
        <f>DATE(2016,6,14)</f>
        <v>42535</v>
      </c>
      <c r="P38" s="55">
        <f>DATE(2018,6,30)</f>
        <v>43281</v>
      </c>
      <c r="Q38" s="51">
        <v>1380</v>
      </c>
      <c r="S38" s="51">
        <v>2</v>
      </c>
      <c r="U38" s="1">
        <f t="shared" si="0"/>
        <v>747</v>
      </c>
      <c r="V38" s="31">
        <f t="shared" si="1"/>
        <v>1.8473895582329318</v>
      </c>
      <c r="W38" s="31">
        <f t="shared" si="2"/>
        <v>674.2971887550201</v>
      </c>
      <c r="X38" s="31">
        <f t="shared" si="3"/>
        <v>0.84287148594377514</v>
      </c>
      <c r="AA38" s="32">
        <f t="shared" si="4"/>
        <v>42552</v>
      </c>
      <c r="AB38" s="32">
        <f t="shared" si="5"/>
        <v>42735</v>
      </c>
      <c r="AC38" s="52">
        <v>33</v>
      </c>
      <c r="AD38" s="1">
        <f t="shared" si="6"/>
        <v>184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0</v>
      </c>
      <c r="AI38" s="23">
        <f t="shared" si="11"/>
        <v>1</v>
      </c>
      <c r="AJ38" s="23">
        <f t="shared" si="12"/>
        <v>0.84287148594377514</v>
      </c>
      <c r="AK38" s="23">
        <f t="shared" si="13"/>
        <v>27.814759036144579</v>
      </c>
      <c r="AL38" s="23">
        <f t="shared" si="14"/>
        <v>55.629518072289159</v>
      </c>
      <c r="AM38" s="23">
        <f t="shared" si="15"/>
        <v>0</v>
      </c>
      <c r="AN38" s="23">
        <f t="shared" si="16"/>
        <v>55.629518072289159</v>
      </c>
      <c r="AQ38" s="32">
        <f t="shared" si="17"/>
        <v>42736</v>
      </c>
      <c r="AR38" s="32">
        <f t="shared" si="18"/>
        <v>42916</v>
      </c>
      <c r="AS38" s="52">
        <v>32</v>
      </c>
      <c r="AT38" s="1">
        <f t="shared" si="19"/>
        <v>181</v>
      </c>
      <c r="AU38" s="1">
        <f t="shared" si="20"/>
        <v>0</v>
      </c>
      <c r="AV38" s="1">
        <f t="shared" si="21"/>
        <v>0</v>
      </c>
      <c r="AW38" s="1">
        <f t="shared" si="22"/>
        <v>0</v>
      </c>
      <c r="AX38" s="1">
        <f t="shared" si="23"/>
        <v>0</v>
      </c>
      <c r="AY38" s="23">
        <f t="shared" si="24"/>
        <v>1</v>
      </c>
      <c r="AZ38" s="23">
        <f t="shared" si="25"/>
        <v>0.84287148594377514</v>
      </c>
      <c r="BA38" s="23">
        <f t="shared" si="26"/>
        <v>26.971887550200805</v>
      </c>
      <c r="BB38" s="23">
        <f t="shared" si="27"/>
        <v>53.943775100401609</v>
      </c>
      <c r="BC38" s="23">
        <f t="shared" si="28"/>
        <v>0</v>
      </c>
      <c r="BD38" s="23">
        <f t="shared" si="29"/>
        <v>53.943775100401609</v>
      </c>
    </row>
    <row r="39" spans="1:56">
      <c r="A39" s="1" t="s">
        <v>20</v>
      </c>
      <c r="B39" s="1" t="s">
        <v>42</v>
      </c>
      <c r="C39" s="1" t="s">
        <v>22</v>
      </c>
      <c r="D39" s="1" t="s">
        <v>43</v>
      </c>
      <c r="E39" s="51" t="s">
        <v>107</v>
      </c>
      <c r="F39" s="51" t="s">
        <v>108</v>
      </c>
      <c r="G39" s="51" t="s">
        <v>109</v>
      </c>
      <c r="H39" s="1" t="s">
        <v>213</v>
      </c>
      <c r="I39" s="1" t="s">
        <v>214</v>
      </c>
      <c r="J39" s="51" t="s">
        <v>112</v>
      </c>
      <c r="K39" s="51" t="s">
        <v>112</v>
      </c>
      <c r="L39" s="51" t="s">
        <v>112</v>
      </c>
      <c r="M39" s="1">
        <v>2032826</v>
      </c>
      <c r="N39" s="52" t="s">
        <v>812</v>
      </c>
      <c r="O39" s="55">
        <f>DATE(2016,6,14)</f>
        <v>42535</v>
      </c>
      <c r="P39" s="55">
        <f>DATE(2018,6,30)</f>
        <v>43281</v>
      </c>
      <c r="Q39" s="51">
        <v>1220</v>
      </c>
      <c r="S39" s="51">
        <v>1.5</v>
      </c>
      <c r="U39" s="1">
        <f t="shared" si="0"/>
        <v>747</v>
      </c>
      <c r="V39" s="31">
        <f t="shared" si="1"/>
        <v>1.6331994645247658</v>
      </c>
      <c r="W39" s="31">
        <f t="shared" si="2"/>
        <v>596.11780455153951</v>
      </c>
      <c r="X39" s="31">
        <f t="shared" si="3"/>
        <v>0.74514725568942441</v>
      </c>
      <c r="AA39" s="32">
        <f t="shared" si="4"/>
        <v>42552</v>
      </c>
      <c r="AB39" s="32">
        <f t="shared" si="5"/>
        <v>42735</v>
      </c>
      <c r="AC39" s="52">
        <v>34</v>
      </c>
      <c r="AD39" s="1">
        <f t="shared" si="6"/>
        <v>184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0</v>
      </c>
      <c r="AI39" s="23">
        <f t="shared" si="11"/>
        <v>1</v>
      </c>
      <c r="AJ39" s="23">
        <f t="shared" si="12"/>
        <v>0.74514725568942441</v>
      </c>
      <c r="AK39" s="23">
        <f t="shared" si="13"/>
        <v>25.33500669344043</v>
      </c>
      <c r="AL39" s="23">
        <f t="shared" si="14"/>
        <v>38.002510040160644</v>
      </c>
      <c r="AM39" s="23">
        <f t="shared" si="15"/>
        <v>0</v>
      </c>
      <c r="AN39" s="23">
        <f t="shared" si="16"/>
        <v>38.002510040160644</v>
      </c>
      <c r="AQ39" s="32">
        <f t="shared" si="17"/>
        <v>42736</v>
      </c>
      <c r="AR39" s="32">
        <f t="shared" si="18"/>
        <v>42916</v>
      </c>
      <c r="AS39" s="52">
        <v>33</v>
      </c>
      <c r="AT39" s="1">
        <f t="shared" si="19"/>
        <v>181</v>
      </c>
      <c r="AU39" s="1">
        <f t="shared" si="20"/>
        <v>0</v>
      </c>
      <c r="AV39" s="1">
        <f t="shared" si="21"/>
        <v>0</v>
      </c>
      <c r="AW39" s="1">
        <f t="shared" si="22"/>
        <v>0</v>
      </c>
      <c r="AX39" s="1">
        <f t="shared" si="23"/>
        <v>0</v>
      </c>
      <c r="AY39" s="23">
        <f t="shared" si="24"/>
        <v>1</v>
      </c>
      <c r="AZ39" s="23">
        <f t="shared" si="25"/>
        <v>0.74514725568942441</v>
      </c>
      <c r="BA39" s="23">
        <f t="shared" si="26"/>
        <v>24.589859437751006</v>
      </c>
      <c r="BB39" s="23">
        <f t="shared" si="27"/>
        <v>36.88478915662651</v>
      </c>
      <c r="BC39" s="23">
        <f t="shared" si="28"/>
        <v>0</v>
      </c>
      <c r="BD39" s="23">
        <f t="shared" si="29"/>
        <v>36.88478915662651</v>
      </c>
    </row>
    <row r="40" spans="1:56">
      <c r="A40" s="1" t="s">
        <v>20</v>
      </c>
      <c r="B40" s="1" t="s">
        <v>42</v>
      </c>
      <c r="C40" s="1" t="s">
        <v>22</v>
      </c>
      <c r="D40" s="1" t="s">
        <v>43</v>
      </c>
      <c r="E40" s="51" t="s">
        <v>107</v>
      </c>
      <c r="F40" s="51" t="s">
        <v>108</v>
      </c>
      <c r="G40" s="51" t="s">
        <v>109</v>
      </c>
      <c r="H40" s="1" t="s">
        <v>161</v>
      </c>
      <c r="I40" s="1" t="s">
        <v>131</v>
      </c>
      <c r="J40" s="51" t="s">
        <v>112</v>
      </c>
      <c r="K40" s="51" t="s">
        <v>112</v>
      </c>
      <c r="L40" s="51" t="s">
        <v>112</v>
      </c>
      <c r="M40" s="1">
        <v>2032829</v>
      </c>
      <c r="N40" s="52" t="s">
        <v>529</v>
      </c>
      <c r="O40" s="55">
        <f>DATE(2016,6,14)</f>
        <v>42535</v>
      </c>
      <c r="P40" s="55">
        <f>DATE(2018,6,30)</f>
        <v>43281</v>
      </c>
      <c r="Q40" s="51">
        <v>1400</v>
      </c>
      <c r="S40" s="51">
        <v>2.5</v>
      </c>
      <c r="U40" s="1">
        <f t="shared" si="0"/>
        <v>747</v>
      </c>
      <c r="V40" s="31">
        <f t="shared" si="1"/>
        <v>1.8741633199464525</v>
      </c>
      <c r="W40" s="31">
        <f t="shared" si="2"/>
        <v>684.06961178045515</v>
      </c>
      <c r="X40" s="31">
        <f t="shared" si="3"/>
        <v>0.85508701472556892</v>
      </c>
      <c r="AA40" s="32">
        <f t="shared" si="4"/>
        <v>42552</v>
      </c>
      <c r="AB40" s="32">
        <f t="shared" si="5"/>
        <v>42735</v>
      </c>
      <c r="AC40" s="52">
        <v>86</v>
      </c>
      <c r="AD40" s="1">
        <f t="shared" si="6"/>
        <v>184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0</v>
      </c>
      <c r="AI40" s="23">
        <f t="shared" si="11"/>
        <v>1</v>
      </c>
      <c r="AJ40" s="23">
        <f t="shared" si="12"/>
        <v>0.85508701472556892</v>
      </c>
      <c r="AK40" s="23">
        <f t="shared" si="13"/>
        <v>73.537483266398922</v>
      </c>
      <c r="AL40" s="23">
        <f t="shared" si="14"/>
        <v>183.8437081659973</v>
      </c>
      <c r="AM40" s="23">
        <f t="shared" si="15"/>
        <v>0</v>
      </c>
      <c r="AN40" s="23">
        <f t="shared" si="16"/>
        <v>183.8437081659973</v>
      </c>
      <c r="AQ40" s="32">
        <f t="shared" si="17"/>
        <v>42736</v>
      </c>
      <c r="AR40" s="32">
        <f t="shared" si="18"/>
        <v>42916</v>
      </c>
      <c r="AS40" s="52">
        <v>70</v>
      </c>
      <c r="AT40" s="1">
        <f t="shared" si="19"/>
        <v>181</v>
      </c>
      <c r="AU40" s="1">
        <f t="shared" si="20"/>
        <v>0</v>
      </c>
      <c r="AV40" s="1">
        <f t="shared" si="21"/>
        <v>0</v>
      </c>
      <c r="AW40" s="1">
        <f t="shared" si="22"/>
        <v>0</v>
      </c>
      <c r="AX40" s="1">
        <f t="shared" si="23"/>
        <v>0</v>
      </c>
      <c r="AY40" s="23">
        <f t="shared" si="24"/>
        <v>1</v>
      </c>
      <c r="AZ40" s="23">
        <f t="shared" si="25"/>
        <v>0.85508701472556892</v>
      </c>
      <c r="BA40" s="23">
        <f t="shared" si="26"/>
        <v>59.856091030789827</v>
      </c>
      <c r="BB40" s="23">
        <f t="shared" si="27"/>
        <v>149.64022757697455</v>
      </c>
      <c r="BC40" s="23">
        <f t="shared" si="28"/>
        <v>0</v>
      </c>
      <c r="BD40" s="23">
        <f t="shared" si="29"/>
        <v>149.64022757697455</v>
      </c>
    </row>
    <row r="41" spans="1:56">
      <c r="A41" s="1" t="s">
        <v>20</v>
      </c>
      <c r="B41" s="1" t="s">
        <v>42</v>
      </c>
      <c r="C41" s="1" t="s">
        <v>22</v>
      </c>
      <c r="D41" s="1" t="s">
        <v>43</v>
      </c>
      <c r="E41" s="51" t="s">
        <v>107</v>
      </c>
      <c r="F41" s="51" t="s">
        <v>294</v>
      </c>
      <c r="G41" s="51" t="s">
        <v>109</v>
      </c>
      <c r="H41" s="1" t="s">
        <v>778</v>
      </c>
      <c r="I41" s="1" t="s">
        <v>234</v>
      </c>
      <c r="J41" s="51" t="s">
        <v>112</v>
      </c>
      <c r="K41" s="51" t="s">
        <v>112</v>
      </c>
      <c r="L41" s="51" t="s">
        <v>112</v>
      </c>
      <c r="M41" s="1">
        <v>2148852</v>
      </c>
      <c r="N41" s="52" t="s">
        <v>813</v>
      </c>
      <c r="O41" s="55">
        <f>DATE(2017,3,8)</f>
        <v>42802</v>
      </c>
      <c r="P41" s="55">
        <f>DATE(2020,12,18)</f>
        <v>44183</v>
      </c>
      <c r="Q41" s="51">
        <v>2390</v>
      </c>
      <c r="S41" s="51">
        <v>1</v>
      </c>
      <c r="U41" s="1">
        <f t="shared" si="0"/>
        <v>1382</v>
      </c>
      <c r="V41" s="31">
        <f t="shared" si="1"/>
        <v>1.7293777134587554</v>
      </c>
      <c r="W41" s="31">
        <f t="shared" si="2"/>
        <v>631.22286541244569</v>
      </c>
      <c r="X41" s="31">
        <f t="shared" si="3"/>
        <v>0.78902858176555712</v>
      </c>
      <c r="AA41" s="32">
        <f t="shared" si="4"/>
        <v>42552</v>
      </c>
      <c r="AB41" s="32">
        <f t="shared" si="5"/>
        <v>42735</v>
      </c>
      <c r="AC41" s="1">
        <v>0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0</v>
      </c>
      <c r="AI41" s="23">
        <f t="shared" si="11"/>
        <v>0</v>
      </c>
      <c r="AJ41" s="23">
        <f t="shared" si="12"/>
        <v>0</v>
      </c>
      <c r="AK41" s="23">
        <f t="shared" si="13"/>
        <v>0</v>
      </c>
      <c r="AL41" s="23">
        <f t="shared" si="14"/>
        <v>0</v>
      </c>
      <c r="AM41" s="23">
        <f t="shared" si="15"/>
        <v>0</v>
      </c>
      <c r="AN41" s="23">
        <f t="shared" si="16"/>
        <v>0</v>
      </c>
      <c r="AQ41" s="32">
        <f t="shared" si="17"/>
        <v>42736</v>
      </c>
      <c r="AR41" s="32">
        <f t="shared" si="18"/>
        <v>42916</v>
      </c>
      <c r="AS41" s="52">
        <v>34</v>
      </c>
      <c r="AT41" s="1">
        <f t="shared" si="19"/>
        <v>0</v>
      </c>
      <c r="AU41" s="1">
        <f t="shared" si="20"/>
        <v>115</v>
      </c>
      <c r="AV41" s="1">
        <f t="shared" si="21"/>
        <v>0</v>
      </c>
      <c r="AW41" s="1">
        <f t="shared" si="22"/>
        <v>0</v>
      </c>
      <c r="AX41" s="1">
        <f t="shared" si="23"/>
        <v>0</v>
      </c>
      <c r="AY41" s="23">
        <f t="shared" si="24"/>
        <v>0.63535911602209949</v>
      </c>
      <c r="AZ41" s="23">
        <f t="shared" si="25"/>
        <v>0.50131650222673518</v>
      </c>
      <c r="BA41" s="23">
        <f t="shared" si="26"/>
        <v>17.044761075708998</v>
      </c>
      <c r="BB41" s="23">
        <f t="shared" si="27"/>
        <v>17.044761075708998</v>
      </c>
      <c r="BC41" s="23">
        <f t="shared" si="28"/>
        <v>0</v>
      </c>
      <c r="BD41" s="23">
        <f t="shared" si="29"/>
        <v>17.044761075708998</v>
      </c>
    </row>
    <row r="42" spans="1:56">
      <c r="A42" s="1" t="s">
        <v>20</v>
      </c>
      <c r="B42" s="1" t="s">
        <v>42</v>
      </c>
      <c r="C42" s="1" t="s">
        <v>22</v>
      </c>
      <c r="D42" s="1" t="s">
        <v>43</v>
      </c>
      <c r="E42" s="51" t="s">
        <v>107</v>
      </c>
      <c r="F42" s="51" t="s">
        <v>265</v>
      </c>
      <c r="G42" s="51" t="s">
        <v>109</v>
      </c>
      <c r="H42" s="1" t="s">
        <v>716</v>
      </c>
      <c r="I42" s="1" t="s">
        <v>147</v>
      </c>
      <c r="J42" s="51" t="s">
        <v>148</v>
      </c>
      <c r="K42" s="51" t="s">
        <v>112</v>
      </c>
      <c r="L42" s="51" t="s">
        <v>112</v>
      </c>
      <c r="M42" s="1">
        <v>2149420</v>
      </c>
      <c r="N42" s="52" t="s">
        <v>814</v>
      </c>
      <c r="O42" s="55">
        <f>DATE(2017,3,8)</f>
        <v>42802</v>
      </c>
      <c r="P42" s="55">
        <f>DATE(2022,12,18)</f>
        <v>44913</v>
      </c>
      <c r="Q42" s="51">
        <v>4640</v>
      </c>
      <c r="S42" s="51">
        <v>2.5</v>
      </c>
      <c r="U42" s="1">
        <f t="shared" si="0"/>
        <v>2112</v>
      </c>
      <c r="V42" s="31">
        <f t="shared" si="1"/>
        <v>2.1969696969696968</v>
      </c>
      <c r="W42" s="31">
        <f t="shared" si="2"/>
        <v>801.89393939393938</v>
      </c>
      <c r="X42" s="31">
        <f t="shared" si="3"/>
        <v>1.0023674242424243</v>
      </c>
      <c r="AA42" s="32">
        <f t="shared" si="4"/>
        <v>42552</v>
      </c>
      <c r="AB42" s="32">
        <f t="shared" si="5"/>
        <v>42735</v>
      </c>
      <c r="AC42" s="1">
        <v>0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0</v>
      </c>
      <c r="AI42" s="23">
        <f t="shared" si="11"/>
        <v>0</v>
      </c>
      <c r="AJ42" s="23">
        <f t="shared" si="12"/>
        <v>0</v>
      </c>
      <c r="AK42" s="23">
        <f t="shared" si="13"/>
        <v>0</v>
      </c>
      <c r="AL42" s="23">
        <f t="shared" si="14"/>
        <v>0</v>
      </c>
      <c r="AM42" s="23">
        <f t="shared" si="15"/>
        <v>0</v>
      </c>
      <c r="AN42" s="23">
        <f t="shared" si="16"/>
        <v>0</v>
      </c>
      <c r="AQ42" s="32">
        <f t="shared" si="17"/>
        <v>42736</v>
      </c>
      <c r="AR42" s="32">
        <f t="shared" si="18"/>
        <v>42916</v>
      </c>
      <c r="AS42" s="52">
        <v>25</v>
      </c>
      <c r="AT42" s="1">
        <f t="shared" si="19"/>
        <v>0</v>
      </c>
      <c r="AU42" s="1">
        <f t="shared" si="20"/>
        <v>115</v>
      </c>
      <c r="AV42" s="1">
        <f t="shared" si="21"/>
        <v>0</v>
      </c>
      <c r="AW42" s="1">
        <f t="shared" si="22"/>
        <v>0</v>
      </c>
      <c r="AX42" s="1">
        <f t="shared" si="23"/>
        <v>0</v>
      </c>
      <c r="AY42" s="23">
        <f t="shared" si="24"/>
        <v>0.63535911602209949</v>
      </c>
      <c r="AZ42" s="23">
        <f t="shared" si="25"/>
        <v>0.63686328059601549</v>
      </c>
      <c r="BA42" s="23">
        <f t="shared" si="26"/>
        <v>15.921582014900387</v>
      </c>
      <c r="BB42" s="23">
        <f t="shared" si="27"/>
        <v>39.803955037250972</v>
      </c>
      <c r="BC42" s="23">
        <f t="shared" si="28"/>
        <v>19.901977518625486</v>
      </c>
      <c r="BD42" s="23">
        <f t="shared" si="29"/>
        <v>59.705932555876458</v>
      </c>
    </row>
    <row r="43" spans="1:56">
      <c r="A43" s="1" t="s">
        <v>20</v>
      </c>
      <c r="B43" s="1" t="s">
        <v>42</v>
      </c>
      <c r="C43" s="1" t="s">
        <v>22</v>
      </c>
      <c r="D43" s="1" t="s">
        <v>43</v>
      </c>
      <c r="E43" s="51" t="s">
        <v>107</v>
      </c>
      <c r="F43" s="51" t="s">
        <v>439</v>
      </c>
      <c r="G43" s="51" t="s">
        <v>109</v>
      </c>
      <c r="H43" s="1" t="s">
        <v>668</v>
      </c>
      <c r="J43" s="51" t="s">
        <v>112</v>
      </c>
      <c r="K43" s="51" t="s">
        <v>112</v>
      </c>
      <c r="L43" s="51" t="s">
        <v>112</v>
      </c>
      <c r="M43" s="1">
        <v>2151925</v>
      </c>
      <c r="N43" s="51" t="s">
        <v>815</v>
      </c>
      <c r="O43" s="55">
        <f>DATE(2017,2,10)</f>
        <v>42776</v>
      </c>
      <c r="P43" s="55">
        <f>DATE(2017,8,25)</f>
        <v>42972</v>
      </c>
      <c r="Q43" s="51">
        <v>390</v>
      </c>
      <c r="S43" s="51">
        <v>1</v>
      </c>
      <c r="U43" s="1">
        <f t="shared" si="0"/>
        <v>197</v>
      </c>
      <c r="V43" s="31">
        <f t="shared" si="1"/>
        <v>1.9796954314720812</v>
      </c>
      <c r="W43" s="31">
        <f t="shared" si="2"/>
        <v>390</v>
      </c>
      <c r="X43" s="31">
        <f t="shared" si="3"/>
        <v>0.48749999999999999</v>
      </c>
      <c r="AA43" s="32">
        <f t="shared" si="4"/>
        <v>42552</v>
      </c>
      <c r="AB43" s="32">
        <f t="shared" si="5"/>
        <v>42735</v>
      </c>
      <c r="AC43" s="1">
        <v>0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0</v>
      </c>
      <c r="AI43" s="23">
        <f t="shared" si="11"/>
        <v>0</v>
      </c>
      <c r="AJ43" s="23">
        <f t="shared" si="12"/>
        <v>0</v>
      </c>
      <c r="AK43" s="23">
        <f t="shared" si="13"/>
        <v>0</v>
      </c>
      <c r="AL43" s="23">
        <f t="shared" si="14"/>
        <v>0</v>
      </c>
      <c r="AM43" s="23">
        <f t="shared" si="15"/>
        <v>0</v>
      </c>
      <c r="AN43" s="23">
        <f t="shared" si="16"/>
        <v>0</v>
      </c>
      <c r="AQ43" s="32">
        <f t="shared" si="17"/>
        <v>42736</v>
      </c>
      <c r="AR43" s="32">
        <f t="shared" si="18"/>
        <v>42916</v>
      </c>
      <c r="AS43" s="52">
        <v>39</v>
      </c>
      <c r="AT43" s="1">
        <f t="shared" si="19"/>
        <v>0</v>
      </c>
      <c r="AU43" s="1">
        <f t="shared" si="20"/>
        <v>141</v>
      </c>
      <c r="AV43" s="1">
        <f t="shared" si="21"/>
        <v>0</v>
      </c>
      <c r="AW43" s="1">
        <f t="shared" si="22"/>
        <v>0</v>
      </c>
      <c r="AX43" s="1">
        <f t="shared" si="23"/>
        <v>0</v>
      </c>
      <c r="AY43" s="23">
        <f t="shared" si="24"/>
        <v>0.77900552486187846</v>
      </c>
      <c r="AZ43" s="23">
        <f t="shared" si="25"/>
        <v>0.37976519337016573</v>
      </c>
      <c r="BA43" s="23">
        <f t="shared" si="26"/>
        <v>14.810842541436463</v>
      </c>
      <c r="BB43" s="23">
        <f t="shared" si="27"/>
        <v>14.810842541436463</v>
      </c>
      <c r="BC43" s="23">
        <f t="shared" si="28"/>
        <v>0</v>
      </c>
      <c r="BD43" s="23">
        <f t="shared" si="29"/>
        <v>14.810842541436463</v>
      </c>
    </row>
    <row r="44" spans="1:56">
      <c r="A44" s="1" t="s">
        <v>20</v>
      </c>
      <c r="B44" s="1" t="s">
        <v>42</v>
      </c>
      <c r="C44" s="1" t="s">
        <v>22</v>
      </c>
      <c r="D44" s="1" t="s">
        <v>43</v>
      </c>
      <c r="E44" s="51" t="s">
        <v>107</v>
      </c>
      <c r="F44" s="51" t="s">
        <v>108</v>
      </c>
      <c r="G44" s="51" t="s">
        <v>109</v>
      </c>
      <c r="H44" s="1" t="s">
        <v>642</v>
      </c>
      <c r="I44" s="1" t="s">
        <v>147</v>
      </c>
      <c r="J44" s="51" t="s">
        <v>148</v>
      </c>
      <c r="K44" s="51" t="s">
        <v>112</v>
      </c>
      <c r="L44" s="51" t="s">
        <v>112</v>
      </c>
      <c r="M44" s="1">
        <v>2165761</v>
      </c>
      <c r="N44" s="52" t="s">
        <v>816</v>
      </c>
      <c r="O44" s="55">
        <f>DATE(2017,5,15)</f>
        <v>42870</v>
      </c>
      <c r="P44" s="55">
        <f>DATE(2019,4,30)</f>
        <v>43585</v>
      </c>
      <c r="Q44" s="51">
        <v>1280</v>
      </c>
      <c r="S44" s="51">
        <v>2.5</v>
      </c>
      <c r="U44" s="1">
        <f t="shared" si="0"/>
        <v>716</v>
      </c>
      <c r="V44" s="31">
        <f t="shared" si="1"/>
        <v>1.7877094972067038</v>
      </c>
      <c r="W44" s="31">
        <f t="shared" si="2"/>
        <v>652.51396648044692</v>
      </c>
      <c r="X44" s="31">
        <f t="shared" si="3"/>
        <v>0.81564245810055869</v>
      </c>
      <c r="AA44" s="32">
        <f t="shared" si="4"/>
        <v>42552</v>
      </c>
      <c r="AB44" s="32">
        <f t="shared" si="5"/>
        <v>42735</v>
      </c>
      <c r="AC44" s="1">
        <v>0</v>
      </c>
      <c r="AD44" s="1">
        <f t="shared" si="6"/>
        <v>0</v>
      </c>
      <c r="AE44" s="1">
        <f t="shared" si="7"/>
        <v>0</v>
      </c>
      <c r="AF44" s="1">
        <f t="shared" si="8"/>
        <v>0</v>
      </c>
      <c r="AG44" s="1">
        <f t="shared" si="9"/>
        <v>0</v>
      </c>
      <c r="AH44" s="1">
        <f t="shared" si="10"/>
        <v>0</v>
      </c>
      <c r="AI44" s="23">
        <f t="shared" si="11"/>
        <v>0</v>
      </c>
      <c r="AJ44" s="23">
        <f t="shared" si="12"/>
        <v>0</v>
      </c>
      <c r="AK44" s="23">
        <f t="shared" si="13"/>
        <v>0</v>
      </c>
      <c r="AL44" s="23">
        <f t="shared" si="14"/>
        <v>0</v>
      </c>
      <c r="AM44" s="23">
        <f t="shared" si="15"/>
        <v>0</v>
      </c>
      <c r="AN44" s="23">
        <f t="shared" si="16"/>
        <v>0</v>
      </c>
      <c r="AQ44" s="32">
        <f t="shared" si="17"/>
        <v>42736</v>
      </c>
      <c r="AR44" s="32">
        <f t="shared" si="18"/>
        <v>42916</v>
      </c>
      <c r="AS44" s="52">
        <v>40</v>
      </c>
      <c r="AT44" s="1">
        <f t="shared" si="19"/>
        <v>0</v>
      </c>
      <c r="AU44" s="1">
        <f t="shared" si="20"/>
        <v>47</v>
      </c>
      <c r="AV44" s="1">
        <f t="shared" si="21"/>
        <v>0</v>
      </c>
      <c r="AW44" s="1">
        <f t="shared" si="22"/>
        <v>0</v>
      </c>
      <c r="AX44" s="1">
        <f t="shared" si="23"/>
        <v>0</v>
      </c>
      <c r="AY44" s="23">
        <f t="shared" si="24"/>
        <v>0.25966850828729282</v>
      </c>
      <c r="AZ44" s="23">
        <f t="shared" si="25"/>
        <v>0.21179666039075282</v>
      </c>
      <c r="BA44" s="23">
        <f t="shared" si="26"/>
        <v>8.471866415630112</v>
      </c>
      <c r="BB44" s="23">
        <f t="shared" si="27"/>
        <v>21.179666039075279</v>
      </c>
      <c r="BC44" s="23">
        <f t="shared" si="28"/>
        <v>10.58983301953764</v>
      </c>
      <c r="BD44" s="23">
        <f t="shared" si="29"/>
        <v>31.769499058612919</v>
      </c>
    </row>
    <row r="45" spans="1:56">
      <c r="A45" s="1" t="s">
        <v>20</v>
      </c>
      <c r="B45" s="1" t="s">
        <v>42</v>
      </c>
      <c r="C45" s="1" t="s">
        <v>22</v>
      </c>
      <c r="D45" s="1" t="s">
        <v>43</v>
      </c>
      <c r="E45" s="51" t="s">
        <v>107</v>
      </c>
      <c r="F45" s="51" t="s">
        <v>108</v>
      </c>
      <c r="G45" s="51" t="s">
        <v>109</v>
      </c>
      <c r="H45" s="1" t="s">
        <v>161</v>
      </c>
      <c r="I45" s="1" t="s">
        <v>131</v>
      </c>
      <c r="J45" s="51" t="s">
        <v>112</v>
      </c>
      <c r="K45" s="51" t="s">
        <v>112</v>
      </c>
      <c r="L45" s="51" t="s">
        <v>112</v>
      </c>
      <c r="M45" s="1">
        <v>2165939</v>
      </c>
      <c r="N45" s="52" t="s">
        <v>817</v>
      </c>
      <c r="O45" s="55">
        <f>DATE(2017,5,15)</f>
        <v>42870</v>
      </c>
      <c r="P45" s="55">
        <f>DATE(2019,4,30)</f>
        <v>43585</v>
      </c>
      <c r="Q45" s="51">
        <v>1260</v>
      </c>
      <c r="S45" s="51">
        <v>2.5</v>
      </c>
      <c r="U45" s="1">
        <f t="shared" si="0"/>
        <v>716</v>
      </c>
      <c r="V45" s="31">
        <f t="shared" si="1"/>
        <v>1.7597765363128492</v>
      </c>
      <c r="W45" s="31">
        <f t="shared" si="2"/>
        <v>642.31843575418998</v>
      </c>
      <c r="X45" s="31">
        <f t="shared" si="3"/>
        <v>0.80289804469273751</v>
      </c>
      <c r="AA45" s="32">
        <f t="shared" si="4"/>
        <v>42552</v>
      </c>
      <c r="AB45" s="32">
        <f t="shared" si="5"/>
        <v>42735</v>
      </c>
      <c r="AC45" s="1">
        <v>0</v>
      </c>
      <c r="AD45" s="1">
        <f t="shared" si="6"/>
        <v>0</v>
      </c>
      <c r="AE45" s="1">
        <f t="shared" si="7"/>
        <v>0</v>
      </c>
      <c r="AF45" s="1">
        <f t="shared" si="8"/>
        <v>0</v>
      </c>
      <c r="AG45" s="1">
        <f t="shared" si="9"/>
        <v>0</v>
      </c>
      <c r="AH45" s="1">
        <f t="shared" si="10"/>
        <v>0</v>
      </c>
      <c r="AI45" s="23">
        <f t="shared" si="11"/>
        <v>0</v>
      </c>
      <c r="AJ45" s="23">
        <f t="shared" si="12"/>
        <v>0</v>
      </c>
      <c r="AK45" s="23">
        <f t="shared" si="13"/>
        <v>0</v>
      </c>
      <c r="AL45" s="23">
        <f t="shared" si="14"/>
        <v>0</v>
      </c>
      <c r="AM45" s="23">
        <f t="shared" si="15"/>
        <v>0</v>
      </c>
      <c r="AN45" s="23">
        <f t="shared" si="16"/>
        <v>0</v>
      </c>
      <c r="AQ45" s="32">
        <f t="shared" si="17"/>
        <v>42736</v>
      </c>
      <c r="AR45" s="32">
        <f t="shared" si="18"/>
        <v>42916</v>
      </c>
      <c r="AS45" s="52">
        <v>40</v>
      </c>
      <c r="AT45" s="1">
        <f t="shared" si="19"/>
        <v>0</v>
      </c>
      <c r="AU45" s="1">
        <f t="shared" si="20"/>
        <v>47</v>
      </c>
      <c r="AV45" s="1">
        <f t="shared" si="21"/>
        <v>0</v>
      </c>
      <c r="AW45" s="1">
        <f t="shared" si="22"/>
        <v>0</v>
      </c>
      <c r="AX45" s="1">
        <f t="shared" si="23"/>
        <v>0</v>
      </c>
      <c r="AY45" s="23">
        <f t="shared" si="24"/>
        <v>0.25966850828729282</v>
      </c>
      <c r="AZ45" s="23">
        <f t="shared" si="25"/>
        <v>0.20848733757214732</v>
      </c>
      <c r="BA45" s="23">
        <f t="shared" si="26"/>
        <v>8.3394935028858939</v>
      </c>
      <c r="BB45" s="23">
        <f t="shared" si="27"/>
        <v>20.848733757214735</v>
      </c>
      <c r="BC45" s="23">
        <f t="shared" si="28"/>
        <v>0</v>
      </c>
      <c r="BD45" s="23">
        <f t="shared" si="29"/>
        <v>20.848733757214735</v>
      </c>
    </row>
    <row r="46" spans="1:56">
      <c r="A46" s="1" t="s">
        <v>20</v>
      </c>
      <c r="B46" s="1" t="s">
        <v>42</v>
      </c>
      <c r="C46" s="1" t="s">
        <v>22</v>
      </c>
      <c r="D46" s="1" t="s">
        <v>43</v>
      </c>
      <c r="E46" s="51" t="s">
        <v>107</v>
      </c>
      <c r="F46" s="51" t="s">
        <v>108</v>
      </c>
      <c r="G46" s="51" t="s">
        <v>109</v>
      </c>
      <c r="H46" s="1" t="s">
        <v>179</v>
      </c>
      <c r="I46" s="1" t="s">
        <v>125</v>
      </c>
      <c r="J46" s="51" t="s">
        <v>112</v>
      </c>
      <c r="K46" s="51" t="s">
        <v>112</v>
      </c>
      <c r="L46" s="51" t="s">
        <v>112</v>
      </c>
      <c r="M46" s="1">
        <v>2166077</v>
      </c>
      <c r="N46" s="52" t="s">
        <v>818</v>
      </c>
      <c r="O46" s="55">
        <f>DATE(2017,5,15)</f>
        <v>42870</v>
      </c>
      <c r="P46" s="55">
        <f>DATE(2019,4,30)</f>
        <v>43585</v>
      </c>
      <c r="Q46" s="51">
        <v>1233</v>
      </c>
      <c r="S46" s="51">
        <v>2</v>
      </c>
      <c r="U46" s="1">
        <f t="shared" si="0"/>
        <v>716</v>
      </c>
      <c r="V46" s="31">
        <f t="shared" si="1"/>
        <v>1.7220670391061452</v>
      </c>
      <c r="W46" s="31">
        <f t="shared" si="2"/>
        <v>628.55446927374305</v>
      </c>
      <c r="X46" s="31">
        <f t="shared" si="3"/>
        <v>0.78569308659217885</v>
      </c>
      <c r="AA46" s="32">
        <f t="shared" si="4"/>
        <v>42552</v>
      </c>
      <c r="AB46" s="32">
        <f t="shared" si="5"/>
        <v>42735</v>
      </c>
      <c r="AC46" s="1">
        <v>0</v>
      </c>
      <c r="AD46" s="1">
        <f t="shared" si="6"/>
        <v>0</v>
      </c>
      <c r="AE46" s="1">
        <f t="shared" si="7"/>
        <v>0</v>
      </c>
      <c r="AF46" s="1">
        <f t="shared" si="8"/>
        <v>0</v>
      </c>
      <c r="AG46" s="1">
        <f t="shared" si="9"/>
        <v>0</v>
      </c>
      <c r="AH46" s="1">
        <f t="shared" si="10"/>
        <v>0</v>
      </c>
      <c r="AI46" s="23">
        <f t="shared" si="11"/>
        <v>0</v>
      </c>
      <c r="AJ46" s="23">
        <f t="shared" si="12"/>
        <v>0</v>
      </c>
      <c r="AK46" s="23">
        <f t="shared" si="13"/>
        <v>0</v>
      </c>
      <c r="AL46" s="23">
        <f t="shared" si="14"/>
        <v>0</v>
      </c>
      <c r="AM46" s="23">
        <f t="shared" si="15"/>
        <v>0</v>
      </c>
      <c r="AN46" s="23">
        <f t="shared" si="16"/>
        <v>0</v>
      </c>
      <c r="AQ46" s="32">
        <f t="shared" si="17"/>
        <v>42736</v>
      </c>
      <c r="AR46" s="32">
        <f t="shared" si="18"/>
        <v>42916</v>
      </c>
      <c r="AS46" s="52">
        <v>40</v>
      </c>
      <c r="AT46" s="1">
        <f t="shared" si="19"/>
        <v>0</v>
      </c>
      <c r="AU46" s="1">
        <f t="shared" si="20"/>
        <v>47</v>
      </c>
      <c r="AV46" s="1">
        <f t="shared" si="21"/>
        <v>0</v>
      </c>
      <c r="AW46" s="1">
        <f t="shared" si="22"/>
        <v>0</v>
      </c>
      <c r="AX46" s="1">
        <f t="shared" si="23"/>
        <v>0</v>
      </c>
      <c r="AY46" s="23">
        <f t="shared" si="24"/>
        <v>0.25966850828729282</v>
      </c>
      <c r="AZ46" s="23">
        <f t="shared" si="25"/>
        <v>0.20401975176702986</v>
      </c>
      <c r="BA46" s="23">
        <f t="shared" si="26"/>
        <v>8.1607900706811947</v>
      </c>
      <c r="BB46" s="23">
        <f t="shared" si="27"/>
        <v>16.321580141362389</v>
      </c>
      <c r="BC46" s="23">
        <f t="shared" si="28"/>
        <v>0</v>
      </c>
      <c r="BD46" s="23">
        <f t="shared" si="29"/>
        <v>16.321580141362389</v>
      </c>
    </row>
    <row r="47" spans="1:56">
      <c r="A47" s="1" t="s">
        <v>20</v>
      </c>
      <c r="B47" s="1" t="s">
        <v>42</v>
      </c>
      <c r="C47" s="1" t="s">
        <v>22</v>
      </c>
      <c r="D47" s="1" t="s">
        <v>43</v>
      </c>
      <c r="E47" s="51" t="s">
        <v>107</v>
      </c>
      <c r="F47" s="51" t="s">
        <v>439</v>
      </c>
      <c r="G47" s="51" t="s">
        <v>109</v>
      </c>
      <c r="H47" s="1" t="s">
        <v>668</v>
      </c>
      <c r="J47" s="51" t="s">
        <v>112</v>
      </c>
      <c r="K47" s="51" t="s">
        <v>112</v>
      </c>
      <c r="L47" s="51" t="s">
        <v>112</v>
      </c>
      <c r="M47" s="1">
        <v>2166281</v>
      </c>
      <c r="N47" s="52" t="s">
        <v>819</v>
      </c>
      <c r="O47" s="55">
        <f>DATE(2017,5,24)</f>
        <v>42879</v>
      </c>
      <c r="P47" s="55">
        <f>DATE(2019,3,26)</f>
        <v>43550</v>
      </c>
      <c r="Q47" s="51">
        <v>390</v>
      </c>
      <c r="S47" s="51">
        <v>1</v>
      </c>
      <c r="U47" s="1">
        <f t="shared" si="0"/>
        <v>672</v>
      </c>
      <c r="V47" s="31">
        <f t="shared" si="1"/>
        <v>0.5803571428571429</v>
      </c>
      <c r="W47" s="31">
        <f t="shared" si="2"/>
        <v>211.83035714285717</v>
      </c>
      <c r="X47" s="31">
        <f t="shared" si="3"/>
        <v>0.26478794642857145</v>
      </c>
      <c r="AA47" s="32">
        <f t="shared" si="4"/>
        <v>42552</v>
      </c>
      <c r="AB47" s="32">
        <f t="shared" si="5"/>
        <v>42735</v>
      </c>
      <c r="AC47" s="1">
        <v>0</v>
      </c>
      <c r="AD47" s="1">
        <f t="shared" si="6"/>
        <v>0</v>
      </c>
      <c r="AE47" s="1">
        <f t="shared" si="7"/>
        <v>0</v>
      </c>
      <c r="AF47" s="1">
        <f t="shared" si="8"/>
        <v>0</v>
      </c>
      <c r="AG47" s="1">
        <f t="shared" si="9"/>
        <v>0</v>
      </c>
      <c r="AH47" s="1">
        <f t="shared" si="10"/>
        <v>0</v>
      </c>
      <c r="AI47" s="23">
        <f t="shared" si="11"/>
        <v>0</v>
      </c>
      <c r="AJ47" s="23">
        <f t="shared" si="12"/>
        <v>0</v>
      </c>
      <c r="AK47" s="23">
        <f t="shared" si="13"/>
        <v>0</v>
      </c>
      <c r="AL47" s="23">
        <f t="shared" si="14"/>
        <v>0</v>
      </c>
      <c r="AM47" s="23">
        <f t="shared" si="15"/>
        <v>0</v>
      </c>
      <c r="AN47" s="23">
        <f t="shared" si="16"/>
        <v>0</v>
      </c>
      <c r="AQ47" s="32">
        <f t="shared" si="17"/>
        <v>42736</v>
      </c>
      <c r="AR47" s="32">
        <f t="shared" si="18"/>
        <v>42916</v>
      </c>
      <c r="AS47" s="52">
        <v>40</v>
      </c>
      <c r="AT47" s="1">
        <f t="shared" si="19"/>
        <v>0</v>
      </c>
      <c r="AU47" s="1">
        <f t="shared" si="20"/>
        <v>38</v>
      </c>
      <c r="AV47" s="1">
        <f t="shared" si="21"/>
        <v>0</v>
      </c>
      <c r="AW47" s="1">
        <f t="shared" si="22"/>
        <v>0</v>
      </c>
      <c r="AX47" s="1">
        <f t="shared" si="23"/>
        <v>0</v>
      </c>
      <c r="AY47" s="23">
        <f t="shared" si="24"/>
        <v>0.20994475138121546</v>
      </c>
      <c r="AZ47" s="23">
        <f t="shared" si="25"/>
        <v>5.5590839581689033E-2</v>
      </c>
      <c r="BA47" s="23">
        <f t="shared" si="26"/>
        <v>2.2236335832675613</v>
      </c>
      <c r="BB47" s="23">
        <f t="shared" si="27"/>
        <v>2.2236335832675613</v>
      </c>
      <c r="BC47" s="23">
        <f t="shared" si="28"/>
        <v>0</v>
      </c>
      <c r="BD47" s="23">
        <f t="shared" si="29"/>
        <v>2.2236335832675613</v>
      </c>
    </row>
    <row r="48" spans="1:56">
      <c r="A48" s="1" t="s">
        <v>20</v>
      </c>
      <c r="B48" s="1" t="s">
        <v>42</v>
      </c>
      <c r="C48" s="1" t="s">
        <v>22</v>
      </c>
      <c r="D48" s="1" t="s">
        <v>43</v>
      </c>
      <c r="E48" s="51" t="s">
        <v>107</v>
      </c>
      <c r="F48" s="51" t="s">
        <v>108</v>
      </c>
      <c r="G48" s="51" t="s">
        <v>109</v>
      </c>
      <c r="H48" s="1" t="s">
        <v>124</v>
      </c>
      <c r="I48" s="1" t="s">
        <v>125</v>
      </c>
      <c r="J48" s="51" t="s">
        <v>112</v>
      </c>
      <c r="K48" s="51" t="s">
        <v>112</v>
      </c>
      <c r="L48" s="51" t="s">
        <v>112</v>
      </c>
      <c r="M48" s="1">
        <v>2166302</v>
      </c>
      <c r="N48" s="52" t="s">
        <v>820</v>
      </c>
      <c r="O48" s="55">
        <f>DATE(2017,5,15)</f>
        <v>42870</v>
      </c>
      <c r="P48" s="55">
        <f>DATE(2020,9,10)</f>
        <v>44084</v>
      </c>
      <c r="Q48" s="51">
        <v>3399</v>
      </c>
      <c r="S48" s="51">
        <v>2.5</v>
      </c>
      <c r="U48" s="1">
        <f t="shared" si="0"/>
        <v>1215</v>
      </c>
      <c r="V48" s="31">
        <f t="shared" si="1"/>
        <v>2.7975308641975309</v>
      </c>
      <c r="W48" s="31">
        <f t="shared" si="2"/>
        <v>1021.0987654320988</v>
      </c>
      <c r="X48" s="31">
        <f t="shared" si="3"/>
        <v>1.2763734567901235</v>
      </c>
      <c r="AA48" s="32">
        <f t="shared" si="4"/>
        <v>42552</v>
      </c>
      <c r="AB48" s="32">
        <f t="shared" si="5"/>
        <v>42735</v>
      </c>
      <c r="AC48" s="1">
        <v>0</v>
      </c>
      <c r="AD48" s="1">
        <f t="shared" si="6"/>
        <v>0</v>
      </c>
      <c r="AE48" s="1">
        <f t="shared" si="7"/>
        <v>0</v>
      </c>
      <c r="AF48" s="1">
        <f t="shared" si="8"/>
        <v>0</v>
      </c>
      <c r="AG48" s="1">
        <f t="shared" si="9"/>
        <v>0</v>
      </c>
      <c r="AH48" s="1">
        <f t="shared" si="10"/>
        <v>0</v>
      </c>
      <c r="AI48" s="23">
        <f t="shared" si="11"/>
        <v>0</v>
      </c>
      <c r="AJ48" s="23">
        <f t="shared" si="12"/>
        <v>0</v>
      </c>
      <c r="AK48" s="23">
        <f t="shared" si="13"/>
        <v>0</v>
      </c>
      <c r="AL48" s="23">
        <f t="shared" si="14"/>
        <v>0</v>
      </c>
      <c r="AM48" s="23">
        <f t="shared" si="15"/>
        <v>0</v>
      </c>
      <c r="AN48" s="23">
        <f t="shared" si="16"/>
        <v>0</v>
      </c>
      <c r="AQ48" s="32">
        <f t="shared" si="17"/>
        <v>42736</v>
      </c>
      <c r="AR48" s="32">
        <f t="shared" si="18"/>
        <v>42916</v>
      </c>
      <c r="AS48" s="52">
        <v>40</v>
      </c>
      <c r="AT48" s="1">
        <f t="shared" si="19"/>
        <v>0</v>
      </c>
      <c r="AU48" s="1">
        <f t="shared" si="20"/>
        <v>47</v>
      </c>
      <c r="AV48" s="1">
        <f t="shared" si="21"/>
        <v>0</v>
      </c>
      <c r="AW48" s="1">
        <f t="shared" si="22"/>
        <v>0</v>
      </c>
      <c r="AX48" s="1">
        <f t="shared" si="23"/>
        <v>0</v>
      </c>
      <c r="AY48" s="23">
        <f t="shared" si="24"/>
        <v>0.25966850828729282</v>
      </c>
      <c r="AZ48" s="23">
        <f t="shared" si="25"/>
        <v>0.33143399154218678</v>
      </c>
      <c r="BA48" s="23">
        <f t="shared" si="26"/>
        <v>13.25735966168747</v>
      </c>
      <c r="BB48" s="23">
        <f t="shared" si="27"/>
        <v>33.143399154218677</v>
      </c>
      <c r="BC48" s="23">
        <f t="shared" si="28"/>
        <v>0</v>
      </c>
      <c r="BD48" s="23">
        <f t="shared" si="29"/>
        <v>33.143399154218677</v>
      </c>
    </row>
    <row r="49" spans="1:56">
      <c r="A49" s="1" t="s">
        <v>20</v>
      </c>
      <c r="B49" s="1" t="s">
        <v>42</v>
      </c>
      <c r="C49" s="1" t="s">
        <v>22</v>
      </c>
      <c r="D49" s="1" t="s">
        <v>43</v>
      </c>
      <c r="E49" s="51" t="s">
        <v>107</v>
      </c>
      <c r="F49" s="51" t="s">
        <v>108</v>
      </c>
      <c r="G49" s="51" t="s">
        <v>109</v>
      </c>
      <c r="H49" s="1" t="s">
        <v>213</v>
      </c>
      <c r="I49" s="1" t="s">
        <v>214</v>
      </c>
      <c r="J49" s="51" t="s">
        <v>112</v>
      </c>
      <c r="K49" s="51" t="s">
        <v>112</v>
      </c>
      <c r="L49" s="51" t="s">
        <v>112</v>
      </c>
      <c r="M49" s="1">
        <v>2166894</v>
      </c>
      <c r="N49" s="52" t="s">
        <v>821</v>
      </c>
      <c r="O49" s="55">
        <f>DATE(2017,5,10)</f>
        <v>42865</v>
      </c>
      <c r="P49" s="55">
        <f>DATE(2020,9,10)</f>
        <v>44084</v>
      </c>
      <c r="Q49" s="51">
        <v>3066</v>
      </c>
      <c r="S49" s="51">
        <v>1.5</v>
      </c>
      <c r="U49" s="1">
        <f t="shared" si="0"/>
        <v>1220</v>
      </c>
      <c r="V49" s="31">
        <f t="shared" si="1"/>
        <v>2.5131147540983605</v>
      </c>
      <c r="W49" s="31">
        <f t="shared" si="2"/>
        <v>917.28688524590154</v>
      </c>
      <c r="X49" s="31">
        <f t="shared" si="3"/>
        <v>1.1466086065573768</v>
      </c>
      <c r="AA49" s="32">
        <f t="shared" si="4"/>
        <v>42552</v>
      </c>
      <c r="AB49" s="32">
        <f t="shared" si="5"/>
        <v>42735</v>
      </c>
      <c r="AC49" s="1">
        <v>0</v>
      </c>
      <c r="AD49" s="1">
        <f t="shared" si="6"/>
        <v>0</v>
      </c>
      <c r="AE49" s="1">
        <f t="shared" si="7"/>
        <v>0</v>
      </c>
      <c r="AF49" s="1">
        <f t="shared" si="8"/>
        <v>0</v>
      </c>
      <c r="AG49" s="1">
        <f t="shared" si="9"/>
        <v>0</v>
      </c>
      <c r="AH49" s="1">
        <f t="shared" si="10"/>
        <v>0</v>
      </c>
      <c r="AI49" s="23">
        <f t="shared" si="11"/>
        <v>0</v>
      </c>
      <c r="AJ49" s="23">
        <f t="shared" si="12"/>
        <v>0</v>
      </c>
      <c r="AK49" s="23">
        <f t="shared" si="13"/>
        <v>0</v>
      </c>
      <c r="AL49" s="23">
        <f t="shared" si="14"/>
        <v>0</v>
      </c>
      <c r="AM49" s="23">
        <f t="shared" si="15"/>
        <v>0</v>
      </c>
      <c r="AN49" s="23">
        <f t="shared" si="16"/>
        <v>0</v>
      </c>
      <c r="AQ49" s="32">
        <f t="shared" si="17"/>
        <v>42736</v>
      </c>
      <c r="AR49" s="32">
        <f t="shared" si="18"/>
        <v>42916</v>
      </c>
      <c r="AS49" s="52">
        <v>40</v>
      </c>
      <c r="AT49" s="1">
        <f t="shared" si="19"/>
        <v>0</v>
      </c>
      <c r="AU49" s="1">
        <f t="shared" si="20"/>
        <v>52</v>
      </c>
      <c r="AV49" s="1">
        <f t="shared" si="21"/>
        <v>0</v>
      </c>
      <c r="AW49" s="1">
        <f t="shared" si="22"/>
        <v>0</v>
      </c>
      <c r="AX49" s="1">
        <f t="shared" si="23"/>
        <v>0</v>
      </c>
      <c r="AY49" s="23">
        <f t="shared" si="24"/>
        <v>0.287292817679558</v>
      </c>
      <c r="AZ49" s="23">
        <f t="shared" si="25"/>
        <v>0.32941241735350052</v>
      </c>
      <c r="BA49" s="23">
        <f t="shared" si="26"/>
        <v>13.17649669414002</v>
      </c>
      <c r="BB49" s="23">
        <f t="shared" si="27"/>
        <v>19.764745041210031</v>
      </c>
      <c r="BC49" s="23">
        <f t="shared" si="28"/>
        <v>0</v>
      </c>
      <c r="BD49" s="23">
        <f t="shared" si="29"/>
        <v>19.764745041210031</v>
      </c>
    </row>
    <row r="50" spans="1:56">
      <c r="A50" s="1" t="s">
        <v>20</v>
      </c>
      <c r="B50" s="1" t="s">
        <v>42</v>
      </c>
      <c r="C50" s="1" t="s">
        <v>22</v>
      </c>
      <c r="D50" s="1" t="s">
        <v>43</v>
      </c>
      <c r="E50" s="51" t="s">
        <v>107</v>
      </c>
      <c r="F50" s="51" t="s">
        <v>822</v>
      </c>
      <c r="G50" s="51" t="s">
        <v>109</v>
      </c>
      <c r="H50" s="1" t="s">
        <v>242</v>
      </c>
      <c r="I50" s="1" t="s">
        <v>111</v>
      </c>
      <c r="J50" s="51" t="s">
        <v>112</v>
      </c>
      <c r="K50" s="51" t="s">
        <v>112</v>
      </c>
      <c r="L50" s="51" t="s">
        <v>112</v>
      </c>
      <c r="M50" s="1">
        <v>2167063</v>
      </c>
      <c r="N50" s="51" t="s">
        <v>823</v>
      </c>
      <c r="O50" s="55">
        <f>DATE(2017,5,24)</f>
        <v>42879</v>
      </c>
      <c r="P50" s="55">
        <f>DATE(2017,10,15)</f>
        <v>43023</v>
      </c>
      <c r="Q50" s="51">
        <v>192</v>
      </c>
      <c r="S50" s="51">
        <v>1</v>
      </c>
      <c r="U50" s="1">
        <f t="shared" si="0"/>
        <v>145</v>
      </c>
      <c r="V50" s="31">
        <f t="shared" si="1"/>
        <v>1.3241379310344827</v>
      </c>
      <c r="W50" s="31">
        <f t="shared" si="2"/>
        <v>192</v>
      </c>
      <c r="X50" s="31">
        <f t="shared" si="3"/>
        <v>0.24</v>
      </c>
      <c r="AA50" s="32">
        <f t="shared" si="4"/>
        <v>42552</v>
      </c>
      <c r="AB50" s="32">
        <f t="shared" si="5"/>
        <v>42735</v>
      </c>
      <c r="AC50" s="1">
        <v>0</v>
      </c>
      <c r="AD50" s="1">
        <f t="shared" si="6"/>
        <v>0</v>
      </c>
      <c r="AE50" s="1">
        <f t="shared" si="7"/>
        <v>0</v>
      </c>
      <c r="AF50" s="1">
        <f t="shared" si="8"/>
        <v>0</v>
      </c>
      <c r="AG50" s="1">
        <f t="shared" si="9"/>
        <v>0</v>
      </c>
      <c r="AH50" s="1">
        <f t="shared" si="10"/>
        <v>0</v>
      </c>
      <c r="AI50" s="23">
        <f t="shared" si="11"/>
        <v>0</v>
      </c>
      <c r="AJ50" s="23">
        <f t="shared" si="12"/>
        <v>0</v>
      </c>
      <c r="AK50" s="23">
        <f t="shared" si="13"/>
        <v>0</v>
      </c>
      <c r="AL50" s="23">
        <f t="shared" si="14"/>
        <v>0</v>
      </c>
      <c r="AM50" s="23">
        <f t="shared" si="15"/>
        <v>0</v>
      </c>
      <c r="AN50" s="23">
        <f t="shared" si="16"/>
        <v>0</v>
      </c>
      <c r="AQ50" s="32">
        <f t="shared" si="17"/>
        <v>42736</v>
      </c>
      <c r="AR50" s="32">
        <f t="shared" si="18"/>
        <v>42916</v>
      </c>
      <c r="AS50" s="52">
        <v>30</v>
      </c>
      <c r="AT50" s="1">
        <f t="shared" si="19"/>
        <v>0</v>
      </c>
      <c r="AU50" s="1">
        <f t="shared" si="20"/>
        <v>38</v>
      </c>
      <c r="AV50" s="1">
        <f t="shared" si="21"/>
        <v>0</v>
      </c>
      <c r="AW50" s="1">
        <f t="shared" si="22"/>
        <v>0</v>
      </c>
      <c r="AX50" s="1">
        <f t="shared" si="23"/>
        <v>0</v>
      </c>
      <c r="AY50" s="23">
        <f t="shared" si="24"/>
        <v>0.20994475138121546</v>
      </c>
      <c r="AZ50" s="23">
        <f t="shared" si="25"/>
        <v>5.0386740331491708E-2</v>
      </c>
      <c r="BA50" s="23">
        <f t="shared" si="26"/>
        <v>1.5116022099447513</v>
      </c>
      <c r="BB50" s="23">
        <f t="shared" si="27"/>
        <v>1.5116022099447513</v>
      </c>
      <c r="BC50" s="23">
        <f t="shared" si="28"/>
        <v>0</v>
      </c>
      <c r="BD50" s="23">
        <f t="shared" si="29"/>
        <v>1.5116022099447513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E43"/>
  <sheetViews>
    <sheetView topLeftCell="I8" workbookViewId="0">
      <selection activeCell="N35" sqref="N35"/>
    </sheetView>
  </sheetViews>
  <sheetFormatPr defaultRowHeight="15"/>
  <cols>
    <col min="1" max="1" width="4" style="1" customWidth="1"/>
    <col min="2" max="2" width="12" style="1" customWidth="1"/>
    <col min="3" max="3" width="8.7109375" style="1" customWidth="1"/>
    <col min="4" max="4" width="30.2851562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7" width="15.7109375" style="1" customWidth="1"/>
    <col min="18" max="18" width="7.42578125" style="1" customWidth="1"/>
    <col min="19" max="19" width="10.28515625" style="1" customWidth="1"/>
    <col min="20" max="20" width="2.7109375" style="1" customWidth="1"/>
    <col min="21" max="21" width="7.85546875" style="1" customWidth="1"/>
    <col min="22" max="22" width="9.7109375" style="31" customWidth="1"/>
    <col min="23" max="23" width="10.5703125" style="31" customWidth="1"/>
    <col min="24" max="24" width="7" style="31" customWidth="1"/>
    <col min="25" max="25" width="2.5703125" style="31" customWidth="1"/>
    <col min="26" max="26" width="8.5703125" style="31" customWidth="1"/>
    <col min="27" max="27" width="13.140625" style="32" customWidth="1"/>
    <col min="28" max="28" width="13.28515625" style="32" customWidth="1"/>
    <col min="29" max="29" width="11" style="1" customWidth="1"/>
    <col min="30" max="30" width="7.28515625" style="1" customWidth="1"/>
    <col min="31" max="31" width="6.5703125" style="1" customWidth="1"/>
    <col min="32" max="32" width="7.140625" style="1" customWidth="1"/>
    <col min="33" max="33" width="8.5703125" style="1" customWidth="1"/>
    <col min="34" max="34" width="8" style="1" customWidth="1"/>
    <col min="35" max="35" width="9" style="23" customWidth="1"/>
    <col min="36" max="36" width="8.5703125" style="23" customWidth="1"/>
    <col min="37" max="37" width="10.42578125" style="23" customWidth="1"/>
    <col min="38" max="38" width="9.85546875" style="23" customWidth="1"/>
    <col min="39" max="39" width="10.28515625" style="23" customWidth="1"/>
    <col min="40" max="40" width="10.85546875" style="23" customWidth="1"/>
    <col min="41" max="41" width="3.140625" style="23" customWidth="1"/>
    <col min="42" max="42" width="8.5703125" style="23" customWidth="1"/>
    <col min="43" max="43" width="11.85546875" style="32" customWidth="1"/>
    <col min="44" max="44" width="13" style="32" customWidth="1"/>
    <col min="45" max="45" width="9.855468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1"/>
    </row>
    <row r="3" spans="1:57" s="46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53" t="s">
        <v>61</v>
      </c>
      <c r="F3" s="53" t="s">
        <v>62</v>
      </c>
      <c r="G3" s="53" t="s">
        <v>63</v>
      </c>
      <c r="H3" s="35" t="s">
        <v>64</v>
      </c>
      <c r="I3" s="35" t="s">
        <v>65</v>
      </c>
      <c r="J3" s="53" t="s">
        <v>66</v>
      </c>
      <c r="K3" s="53" t="s">
        <v>67</v>
      </c>
      <c r="L3" s="53" t="s">
        <v>68</v>
      </c>
      <c r="M3" s="35" t="s">
        <v>69</v>
      </c>
      <c r="N3" s="35" t="s">
        <v>70</v>
      </c>
      <c r="O3" s="53" t="s">
        <v>71</v>
      </c>
      <c r="P3" s="53" t="s">
        <v>72</v>
      </c>
      <c r="Q3" s="53" t="s">
        <v>73</v>
      </c>
      <c r="R3" s="35" t="s">
        <v>74</v>
      </c>
      <c r="S3" s="54" t="s">
        <v>75</v>
      </c>
      <c r="T3" s="36"/>
      <c r="U3" s="37" t="s">
        <v>76</v>
      </c>
      <c r="V3" s="37" t="s">
        <v>77</v>
      </c>
      <c r="W3" s="38" t="s">
        <v>78</v>
      </c>
      <c r="X3" s="39" t="s">
        <v>79</v>
      </c>
      <c r="Y3" s="40"/>
      <c r="Z3" s="41" t="s">
        <v>80</v>
      </c>
      <c r="AA3" s="42" t="s">
        <v>81</v>
      </c>
      <c r="AB3" s="42" t="s">
        <v>82</v>
      </c>
      <c r="AC3" s="42" t="s">
        <v>83</v>
      </c>
      <c r="AD3" s="39" t="s">
        <v>84</v>
      </c>
      <c r="AE3" s="37" t="s">
        <v>85</v>
      </c>
      <c r="AF3" s="37" t="s">
        <v>86</v>
      </c>
      <c r="AG3" s="39" t="s">
        <v>87</v>
      </c>
      <c r="AH3" s="39" t="s">
        <v>88</v>
      </c>
      <c r="AI3" s="39" t="s">
        <v>89</v>
      </c>
      <c r="AJ3" s="39" t="s">
        <v>90</v>
      </c>
      <c r="AK3" s="39" t="s">
        <v>91</v>
      </c>
      <c r="AL3" s="39" t="s">
        <v>92</v>
      </c>
      <c r="AM3" s="39" t="s">
        <v>93</v>
      </c>
      <c r="AN3" s="43" t="s">
        <v>94</v>
      </c>
      <c r="AO3" s="40"/>
      <c r="AP3" s="41" t="s">
        <v>95</v>
      </c>
      <c r="AQ3" s="42" t="s">
        <v>96</v>
      </c>
      <c r="AR3" s="42" t="s">
        <v>97</v>
      </c>
      <c r="AS3" s="42" t="s">
        <v>98</v>
      </c>
      <c r="AT3" s="37" t="s">
        <v>99</v>
      </c>
      <c r="AU3" s="38" t="s">
        <v>100</v>
      </c>
      <c r="AV3" s="39" t="s">
        <v>101</v>
      </c>
      <c r="AW3" s="39" t="s">
        <v>102</v>
      </c>
      <c r="AX3" s="39" t="s">
        <v>103</v>
      </c>
      <c r="AY3" s="37" t="s">
        <v>104</v>
      </c>
      <c r="AZ3" s="37" t="s">
        <v>90</v>
      </c>
      <c r="BA3" s="38" t="s">
        <v>105</v>
      </c>
      <c r="BB3" s="39" t="s">
        <v>92</v>
      </c>
      <c r="BC3" s="37" t="s">
        <v>93</v>
      </c>
      <c r="BD3" s="44" t="s">
        <v>106</v>
      </c>
      <c r="BE3" s="45"/>
    </row>
    <row r="4" spans="1:57">
      <c r="A4" s="1" t="s">
        <v>20</v>
      </c>
      <c r="B4" s="1" t="s">
        <v>46</v>
      </c>
      <c r="C4" s="1" t="s">
        <v>22</v>
      </c>
      <c r="D4" s="1" t="s">
        <v>48</v>
      </c>
      <c r="E4" s="51" t="s">
        <v>107</v>
      </c>
      <c r="F4" s="51" t="s">
        <v>114</v>
      </c>
      <c r="G4" s="51" t="s">
        <v>109</v>
      </c>
      <c r="H4" s="1" t="s">
        <v>118</v>
      </c>
      <c r="I4" s="1" t="s">
        <v>116</v>
      </c>
      <c r="J4" s="51" t="s">
        <v>112</v>
      </c>
      <c r="K4" s="51" t="s">
        <v>112</v>
      </c>
      <c r="L4" s="51" t="s">
        <v>112</v>
      </c>
      <c r="M4" s="1">
        <v>515933</v>
      </c>
      <c r="N4" s="56" t="s">
        <v>858</v>
      </c>
      <c r="O4" s="55">
        <f>DATE(2010,7,5)</f>
        <v>40364</v>
      </c>
      <c r="P4" s="55">
        <f>DATE(2013,12,5)</f>
        <v>41613</v>
      </c>
      <c r="Q4" s="51">
        <v>3200</v>
      </c>
      <c r="S4" s="51">
        <v>2.5</v>
      </c>
      <c r="U4" s="1">
        <f t="shared" ref="U4:U43" si="0">P4-O4+1</f>
        <v>1250</v>
      </c>
      <c r="V4" s="31">
        <f t="shared" ref="V4:V43" si="1">Q4/U4</f>
        <v>2.56</v>
      </c>
      <c r="W4" s="31">
        <f t="shared" ref="W4:W43" si="2">IF(U4&gt;365,V4*365,Q4)</f>
        <v>934.4</v>
      </c>
      <c r="X4" s="31">
        <f t="shared" ref="X4:X43" si="3">IF(U4&gt;365,W4/800,Q4/800)</f>
        <v>1.1679999999999999</v>
      </c>
      <c r="AA4" s="32">
        <f t="shared" ref="AA4:AA43" si="4">DATE(2016,7,1)</f>
        <v>42552</v>
      </c>
      <c r="AB4" s="32">
        <f t="shared" ref="AB4:AB43" si="5">DATE(2016,12,31)</f>
        <v>42735</v>
      </c>
      <c r="AC4" s="50">
        <v>2</v>
      </c>
      <c r="AD4" s="1">
        <f t="shared" ref="AD4:AD43" si="6">IF(AND(O4&lt;AA4,P4&gt;AB4),AB4-AA4+1,0)</f>
        <v>0</v>
      </c>
      <c r="AE4" s="1">
        <f t="shared" ref="AE4:AE43" si="7">IF(AND(O4&gt;=AA4,P4&gt;AB4,O4&lt;AB4),AB4-O4+1,0)</f>
        <v>0</v>
      </c>
      <c r="AF4" s="1">
        <f t="shared" ref="AF4:AF43" si="8">IF(AND(O4&lt;AA4,P4&lt;=AB4,P4&gt;=AA4),P4-AA4+1,0)</f>
        <v>0</v>
      </c>
      <c r="AG4" s="1">
        <f t="shared" ref="AG4:AG43" si="9">IF(AND(O4&gt;=AA4,P4&lt;=AB4),P4-O4+1,0)</f>
        <v>0</v>
      </c>
      <c r="AH4" s="1">
        <f t="shared" ref="AH4:AH43" si="10">IF(AND(O4&lt;AA4,P4&lt;AA4),(AB4-AA4+1)/2,0)</f>
        <v>92</v>
      </c>
      <c r="AI4" s="23">
        <f t="shared" ref="AI4:AI43" si="11">SUM(AD4:AH4)/(AB4-AA4+1)</f>
        <v>0.5</v>
      </c>
      <c r="AJ4" s="23">
        <f t="shared" ref="AJ4:AJ43" si="12">X4*AI4</f>
        <v>0.58399999999999996</v>
      </c>
      <c r="AK4" s="23">
        <f t="shared" ref="AK4:AK43" si="13">IF(AH4=0,AJ4*AC4,IF(AA4-P4&gt;1095,0,AJ4*(AC4/2)))</f>
        <v>0.58399999999999996</v>
      </c>
      <c r="AL4" s="23">
        <f t="shared" ref="AL4:AL43" si="14">AK4*S4</f>
        <v>1.46</v>
      </c>
      <c r="AM4" s="23">
        <f t="shared" ref="AM4:AM43" si="15">IF(J4="SIM",AL4*50%,0)</f>
        <v>0</v>
      </c>
      <c r="AN4" s="23">
        <f t="shared" ref="AN4:AN43" si="16">AL4+AM4</f>
        <v>1.46</v>
      </c>
      <c r="AQ4" s="32">
        <f t="shared" ref="AQ4:AQ43" si="17">DATE(2017,1,1)</f>
        <v>42736</v>
      </c>
      <c r="AR4" s="32">
        <f t="shared" ref="AR4:AR43" si="18">DATE(2017,6,30)</f>
        <v>42916</v>
      </c>
      <c r="AS4" s="56">
        <v>0</v>
      </c>
      <c r="AT4" s="1">
        <f t="shared" ref="AT4:AT43" si="19">IF(AND(O4&lt;AQ4,P4&gt;AR4),AR4-AQ4+1,0)</f>
        <v>0</v>
      </c>
      <c r="AU4" s="1">
        <f t="shared" ref="AU4:AU43" si="20">IF(AND(O4&gt;=AQ4,P4&gt;AR4,O4&lt;AR4),AR4-O4+1,0)</f>
        <v>0</v>
      </c>
      <c r="AV4" s="1">
        <f t="shared" ref="AV4:AV43" si="21">IF(AND(O4&lt;AQ4,P4&lt;=AR4,P4&gt;=AQ4),P4-AQ4+1,0)</f>
        <v>0</v>
      </c>
      <c r="AW4" s="1">
        <f t="shared" ref="AW4:AW43" si="22">IF(AND(O4&gt;=AQ4,P4&lt;=AR4),P4-O4+1,0)</f>
        <v>0</v>
      </c>
      <c r="AX4" s="1">
        <f t="shared" ref="AX4:AX43" si="23">IF(AND(O4&lt;AQ4,P4&lt;AQ4),(AR4-AQ4+1)/2,0)</f>
        <v>90.5</v>
      </c>
      <c r="AY4" s="23">
        <f t="shared" ref="AY4:AY43" si="24">SUM(AT4:AX4)/(AR4-AQ4+1)</f>
        <v>0.5</v>
      </c>
      <c r="AZ4" s="23">
        <f t="shared" ref="AZ4:AZ43" si="25">X4*AY4</f>
        <v>0.58399999999999996</v>
      </c>
      <c r="BA4" s="23">
        <f t="shared" ref="BA4:BA43" si="26">IF(AX4=0,AZ4*AS4,IF(AQ4-P4&gt;1095,0,AZ4*(AS4/2)))</f>
        <v>0</v>
      </c>
      <c r="BB4" s="23">
        <f t="shared" ref="BB4:BB43" si="27">BA4*S4</f>
        <v>0</v>
      </c>
      <c r="BC4" s="23">
        <f t="shared" ref="BC4:BC43" si="28">IF(J4="SIM",BB4*50%,0)</f>
        <v>0</v>
      </c>
      <c r="BD4" s="23">
        <f t="shared" ref="BD4:BD43" si="29">BB4+BC4</f>
        <v>0</v>
      </c>
    </row>
    <row r="5" spans="1:57">
      <c r="A5" s="1" t="s">
        <v>20</v>
      </c>
      <c r="B5" s="1" t="s">
        <v>46</v>
      </c>
      <c r="C5" s="1" t="s">
        <v>22</v>
      </c>
      <c r="D5" s="1" t="s">
        <v>48</v>
      </c>
      <c r="E5" s="51" t="s">
        <v>107</v>
      </c>
      <c r="F5" s="51" t="s">
        <v>108</v>
      </c>
      <c r="G5" s="51" t="s">
        <v>109</v>
      </c>
      <c r="H5" s="1" t="s">
        <v>275</v>
      </c>
      <c r="I5" s="1" t="s">
        <v>128</v>
      </c>
      <c r="J5" s="51" t="s">
        <v>112</v>
      </c>
      <c r="K5" s="51" t="s">
        <v>112</v>
      </c>
      <c r="L5" s="51" t="s">
        <v>112</v>
      </c>
      <c r="M5" s="1">
        <v>1600455</v>
      </c>
      <c r="N5" s="50" t="s">
        <v>859</v>
      </c>
      <c r="O5" s="55">
        <f>DATE(2012,9,10)</f>
        <v>41162</v>
      </c>
      <c r="P5" s="55">
        <f>DATE(2014,9,10)</f>
        <v>41892</v>
      </c>
      <c r="Q5" s="51">
        <v>1690</v>
      </c>
      <c r="S5" s="51">
        <v>2.5</v>
      </c>
      <c r="U5" s="1">
        <f t="shared" si="0"/>
        <v>731</v>
      </c>
      <c r="V5" s="31">
        <f t="shared" si="1"/>
        <v>2.3119015047879619</v>
      </c>
      <c r="W5" s="31">
        <f t="shared" si="2"/>
        <v>843.84404924760611</v>
      </c>
      <c r="X5" s="31">
        <f t="shared" si="3"/>
        <v>1.0548050615595077</v>
      </c>
      <c r="AA5" s="32">
        <f t="shared" si="4"/>
        <v>42552</v>
      </c>
      <c r="AB5" s="32">
        <f t="shared" si="5"/>
        <v>42735</v>
      </c>
      <c r="AC5" s="50">
        <v>20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0.52740253077975385</v>
      </c>
      <c r="AK5" s="23">
        <f t="shared" si="13"/>
        <v>5.2740253077975385</v>
      </c>
      <c r="AL5" s="23">
        <f t="shared" si="14"/>
        <v>13.185063269493845</v>
      </c>
      <c r="AM5" s="23">
        <f t="shared" si="15"/>
        <v>0</v>
      </c>
      <c r="AN5" s="23">
        <f t="shared" si="16"/>
        <v>13.185063269493845</v>
      </c>
      <c r="AQ5" s="32">
        <f t="shared" si="17"/>
        <v>42736</v>
      </c>
      <c r="AR5" s="32">
        <f t="shared" si="18"/>
        <v>42916</v>
      </c>
      <c r="AS5" s="50">
        <v>17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0.52740253077975385</v>
      </c>
      <c r="BA5" s="23">
        <f t="shared" si="26"/>
        <v>4.4829215116279073</v>
      </c>
      <c r="BB5" s="23">
        <f t="shared" si="27"/>
        <v>11.207303779069768</v>
      </c>
      <c r="BC5" s="23">
        <f t="shared" si="28"/>
        <v>0</v>
      </c>
      <c r="BD5" s="23">
        <f t="shared" si="29"/>
        <v>11.207303779069768</v>
      </c>
    </row>
    <row r="6" spans="1:57">
      <c r="A6" s="1" t="s">
        <v>20</v>
      </c>
      <c r="B6" s="1" t="s">
        <v>46</v>
      </c>
      <c r="C6" s="1" t="s">
        <v>22</v>
      </c>
      <c r="D6" s="1" t="s">
        <v>48</v>
      </c>
      <c r="E6" s="51" t="s">
        <v>107</v>
      </c>
      <c r="F6" s="51" t="s">
        <v>108</v>
      </c>
      <c r="G6" s="51" t="s">
        <v>109</v>
      </c>
      <c r="H6" s="1" t="s">
        <v>127</v>
      </c>
      <c r="I6" s="1" t="s">
        <v>128</v>
      </c>
      <c r="J6" s="51" t="s">
        <v>112</v>
      </c>
      <c r="K6" s="51" t="s">
        <v>112</v>
      </c>
      <c r="L6" s="51" t="s">
        <v>112</v>
      </c>
      <c r="M6" s="1">
        <v>1600471</v>
      </c>
      <c r="N6" s="50" t="s">
        <v>860</v>
      </c>
      <c r="O6" s="55">
        <f>DATE(2012,9,10)</f>
        <v>41162</v>
      </c>
      <c r="P6" s="55">
        <f>DATE(2014,9,10)</f>
        <v>41892</v>
      </c>
      <c r="Q6" s="51">
        <v>1680</v>
      </c>
      <c r="S6" s="51">
        <v>2.5</v>
      </c>
      <c r="U6" s="1">
        <f t="shared" si="0"/>
        <v>731</v>
      </c>
      <c r="V6" s="31">
        <f t="shared" si="1"/>
        <v>2.2982216142270864</v>
      </c>
      <c r="W6" s="31">
        <f t="shared" si="2"/>
        <v>838.85088919288648</v>
      </c>
      <c r="X6" s="31">
        <f t="shared" si="3"/>
        <v>1.0485636114911081</v>
      </c>
      <c r="AA6" s="32">
        <f t="shared" si="4"/>
        <v>42552</v>
      </c>
      <c r="AB6" s="32">
        <f t="shared" si="5"/>
        <v>42735</v>
      </c>
      <c r="AC6" s="50">
        <v>24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0.52428180574555405</v>
      </c>
      <c r="AK6" s="23">
        <f t="shared" si="13"/>
        <v>6.2913816689466486</v>
      </c>
      <c r="AL6" s="23">
        <f t="shared" si="14"/>
        <v>15.728454172366622</v>
      </c>
      <c r="AM6" s="23">
        <f t="shared" si="15"/>
        <v>0</v>
      </c>
      <c r="AN6" s="23">
        <f t="shared" si="16"/>
        <v>15.728454172366622</v>
      </c>
      <c r="AQ6" s="32">
        <f t="shared" si="17"/>
        <v>42736</v>
      </c>
      <c r="AR6" s="32">
        <f t="shared" si="18"/>
        <v>42916</v>
      </c>
      <c r="AS6" s="50">
        <v>23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0.52428180574555405</v>
      </c>
      <c r="BA6" s="23">
        <f t="shared" si="26"/>
        <v>6.0292407660738716</v>
      </c>
      <c r="BB6" s="23">
        <f t="shared" si="27"/>
        <v>15.073101915184679</v>
      </c>
      <c r="BC6" s="23">
        <f t="shared" si="28"/>
        <v>0</v>
      </c>
      <c r="BD6" s="23">
        <f t="shared" si="29"/>
        <v>15.073101915184679</v>
      </c>
    </row>
    <row r="7" spans="1:57">
      <c r="A7" s="1" t="s">
        <v>20</v>
      </c>
      <c r="B7" s="1" t="s">
        <v>46</v>
      </c>
      <c r="C7" s="1" t="s">
        <v>22</v>
      </c>
      <c r="D7" s="1" t="s">
        <v>48</v>
      </c>
      <c r="E7" s="51" t="s">
        <v>107</v>
      </c>
      <c r="F7" s="51" t="s">
        <v>108</v>
      </c>
      <c r="G7" s="51" t="s">
        <v>109</v>
      </c>
      <c r="H7" s="1" t="s">
        <v>283</v>
      </c>
      <c r="I7" s="1" t="s">
        <v>128</v>
      </c>
      <c r="J7" s="51" t="s">
        <v>112</v>
      </c>
      <c r="K7" s="51" t="s">
        <v>112</v>
      </c>
      <c r="L7" s="51" t="s">
        <v>112</v>
      </c>
      <c r="M7" s="1">
        <v>1600477</v>
      </c>
      <c r="N7" s="50" t="s">
        <v>861</v>
      </c>
      <c r="O7" s="55">
        <f>DATE(2012,9,10)</f>
        <v>41162</v>
      </c>
      <c r="P7" s="55">
        <f>DATE(2014,9,10)</f>
        <v>41892</v>
      </c>
      <c r="Q7" s="51">
        <v>1650</v>
      </c>
      <c r="S7" s="51">
        <v>2.5</v>
      </c>
      <c r="U7" s="1">
        <f t="shared" si="0"/>
        <v>731</v>
      </c>
      <c r="V7" s="31">
        <f t="shared" si="1"/>
        <v>2.2571819425444595</v>
      </c>
      <c r="W7" s="31">
        <f t="shared" si="2"/>
        <v>823.87140902872773</v>
      </c>
      <c r="X7" s="31">
        <f t="shared" si="3"/>
        <v>1.0298392612859097</v>
      </c>
      <c r="AA7" s="32">
        <f t="shared" si="4"/>
        <v>42552</v>
      </c>
      <c r="AB7" s="32">
        <f t="shared" si="5"/>
        <v>42735</v>
      </c>
      <c r="AC7" s="50">
        <v>26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0.51491963064295487</v>
      </c>
      <c r="AK7" s="23">
        <f t="shared" si="13"/>
        <v>6.6939551983584131</v>
      </c>
      <c r="AL7" s="23">
        <f t="shared" si="14"/>
        <v>16.734887995896031</v>
      </c>
      <c r="AM7" s="23">
        <f t="shared" si="15"/>
        <v>0</v>
      </c>
      <c r="AN7" s="23">
        <f t="shared" si="16"/>
        <v>16.734887995896031</v>
      </c>
      <c r="AQ7" s="32">
        <f t="shared" si="17"/>
        <v>42736</v>
      </c>
      <c r="AR7" s="32">
        <f t="shared" si="18"/>
        <v>42916</v>
      </c>
      <c r="AS7" s="50">
        <v>20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0.51491963064295487</v>
      </c>
      <c r="BA7" s="23">
        <f t="shared" si="26"/>
        <v>5.1491963064295483</v>
      </c>
      <c r="BB7" s="23">
        <f t="shared" si="27"/>
        <v>12.872990766073871</v>
      </c>
      <c r="BC7" s="23">
        <f t="shared" si="28"/>
        <v>0</v>
      </c>
      <c r="BD7" s="23">
        <f t="shared" si="29"/>
        <v>12.872990766073871</v>
      </c>
    </row>
    <row r="8" spans="1:57">
      <c r="A8" s="1" t="s">
        <v>20</v>
      </c>
      <c r="B8" s="1" t="s">
        <v>46</v>
      </c>
      <c r="C8" s="1" t="s">
        <v>22</v>
      </c>
      <c r="D8" s="1" t="s">
        <v>48</v>
      </c>
      <c r="E8" s="51" t="s">
        <v>154</v>
      </c>
      <c r="F8" s="51" t="s">
        <v>108</v>
      </c>
      <c r="G8" s="51" t="s">
        <v>109</v>
      </c>
      <c r="H8" s="1" t="s">
        <v>110</v>
      </c>
      <c r="I8" s="1" t="s">
        <v>111</v>
      </c>
      <c r="J8" s="51" t="s">
        <v>112</v>
      </c>
      <c r="K8" s="51" t="s">
        <v>112</v>
      </c>
      <c r="L8" s="51" t="s">
        <v>148</v>
      </c>
      <c r="M8" s="1">
        <v>1946614</v>
      </c>
      <c r="N8" s="50" t="s">
        <v>160</v>
      </c>
      <c r="O8" s="55">
        <f>DATE(2012,3,1)</f>
        <v>40969</v>
      </c>
      <c r="P8" s="55">
        <f>DATE(2014,12,31)</f>
        <v>42004</v>
      </c>
      <c r="Q8" s="51">
        <v>1000</v>
      </c>
      <c r="S8" s="51">
        <v>2</v>
      </c>
      <c r="U8" s="1">
        <f t="shared" si="0"/>
        <v>1036</v>
      </c>
      <c r="V8" s="31">
        <f t="shared" si="1"/>
        <v>0.96525096525096521</v>
      </c>
      <c r="W8" s="31">
        <f t="shared" si="2"/>
        <v>352.31660231660231</v>
      </c>
      <c r="X8" s="31">
        <f t="shared" si="3"/>
        <v>0.44039575289575289</v>
      </c>
      <c r="AA8" s="32">
        <f t="shared" si="4"/>
        <v>42552</v>
      </c>
      <c r="AB8" s="32">
        <f t="shared" si="5"/>
        <v>42735</v>
      </c>
      <c r="AC8" s="50">
        <v>22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0.22019787644787644</v>
      </c>
      <c r="AK8" s="23">
        <f t="shared" si="13"/>
        <v>2.422176640926641</v>
      </c>
      <c r="AL8" s="23">
        <f t="shared" si="14"/>
        <v>4.844353281853282</v>
      </c>
      <c r="AM8" s="23">
        <f t="shared" si="15"/>
        <v>0</v>
      </c>
      <c r="AN8" s="23">
        <f t="shared" si="16"/>
        <v>4.844353281853282</v>
      </c>
      <c r="AQ8" s="32">
        <f t="shared" si="17"/>
        <v>42736</v>
      </c>
      <c r="AR8" s="32">
        <f t="shared" si="18"/>
        <v>42916</v>
      </c>
      <c r="AS8" s="50">
        <v>22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0.22019787644787644</v>
      </c>
      <c r="BA8" s="23">
        <f t="shared" si="26"/>
        <v>2.422176640926641</v>
      </c>
      <c r="BB8" s="23">
        <f t="shared" si="27"/>
        <v>4.844353281853282</v>
      </c>
      <c r="BC8" s="23">
        <f t="shared" si="28"/>
        <v>0</v>
      </c>
      <c r="BD8" s="23">
        <f t="shared" si="29"/>
        <v>4.844353281853282</v>
      </c>
    </row>
    <row r="9" spans="1:57">
      <c r="A9" s="1" t="s">
        <v>20</v>
      </c>
      <c r="B9" s="1" t="s">
        <v>46</v>
      </c>
      <c r="C9" s="1" t="s">
        <v>22</v>
      </c>
      <c r="D9" s="1" t="s">
        <v>48</v>
      </c>
      <c r="E9" s="51" t="s">
        <v>154</v>
      </c>
      <c r="F9" s="51" t="s">
        <v>108</v>
      </c>
      <c r="G9" s="51" t="s">
        <v>109</v>
      </c>
      <c r="H9" s="1" t="s">
        <v>179</v>
      </c>
      <c r="I9" s="1" t="s">
        <v>125</v>
      </c>
      <c r="J9" s="51" t="s">
        <v>112</v>
      </c>
      <c r="K9" s="51" t="s">
        <v>112</v>
      </c>
      <c r="L9" s="51" t="s">
        <v>148</v>
      </c>
      <c r="M9" s="1">
        <v>1946615</v>
      </c>
      <c r="N9" s="50" t="s">
        <v>445</v>
      </c>
      <c r="O9" s="55">
        <f>DATE(2012,3,1)</f>
        <v>40969</v>
      </c>
      <c r="P9" s="55">
        <f>DATE(2014,12,31)</f>
        <v>42004</v>
      </c>
      <c r="Q9" s="51">
        <v>1200</v>
      </c>
      <c r="S9" s="51">
        <v>2</v>
      </c>
      <c r="U9" s="1">
        <f t="shared" si="0"/>
        <v>1036</v>
      </c>
      <c r="V9" s="31">
        <f t="shared" si="1"/>
        <v>1.1583011583011582</v>
      </c>
      <c r="W9" s="31">
        <f t="shared" si="2"/>
        <v>422.77992277992274</v>
      </c>
      <c r="X9" s="31">
        <f t="shared" si="3"/>
        <v>0.52847490347490345</v>
      </c>
      <c r="AA9" s="32">
        <f t="shared" si="4"/>
        <v>42552</v>
      </c>
      <c r="AB9" s="32">
        <f t="shared" si="5"/>
        <v>42735</v>
      </c>
      <c r="AC9" s="50">
        <v>3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0.26423745173745172</v>
      </c>
      <c r="AK9" s="23">
        <f t="shared" si="13"/>
        <v>0.39635617760617758</v>
      </c>
      <c r="AL9" s="23">
        <f t="shared" si="14"/>
        <v>0.79271235521235517</v>
      </c>
      <c r="AM9" s="23">
        <f t="shared" si="15"/>
        <v>0</v>
      </c>
      <c r="AN9" s="23">
        <f t="shared" si="16"/>
        <v>0.79271235521235517</v>
      </c>
      <c r="AQ9" s="32">
        <f t="shared" si="17"/>
        <v>42736</v>
      </c>
      <c r="AR9" s="32">
        <f t="shared" si="18"/>
        <v>42916</v>
      </c>
      <c r="AS9" s="50">
        <v>3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0.26423745173745172</v>
      </c>
      <c r="BA9" s="23">
        <f t="shared" si="26"/>
        <v>0.39635617760617758</v>
      </c>
      <c r="BB9" s="23">
        <f t="shared" si="27"/>
        <v>0.79271235521235517</v>
      </c>
      <c r="BC9" s="23">
        <f t="shared" si="28"/>
        <v>0</v>
      </c>
      <c r="BD9" s="23">
        <f t="shared" si="29"/>
        <v>0.79271235521235517</v>
      </c>
    </row>
    <row r="10" spans="1:57">
      <c r="A10" s="1" t="s">
        <v>20</v>
      </c>
      <c r="B10" s="1" t="s">
        <v>46</v>
      </c>
      <c r="C10" s="1" t="s">
        <v>22</v>
      </c>
      <c r="D10" s="1" t="s">
        <v>48</v>
      </c>
      <c r="E10" s="51" t="s">
        <v>154</v>
      </c>
      <c r="F10" s="51" t="s">
        <v>108</v>
      </c>
      <c r="G10" s="51" t="s">
        <v>109</v>
      </c>
      <c r="H10" s="1" t="s">
        <v>166</v>
      </c>
      <c r="I10" s="1" t="s">
        <v>167</v>
      </c>
      <c r="J10" s="51" t="s">
        <v>112</v>
      </c>
      <c r="K10" s="51" t="s">
        <v>112</v>
      </c>
      <c r="L10" s="51" t="s">
        <v>148</v>
      </c>
      <c r="M10" s="1">
        <v>1971425</v>
      </c>
      <c r="N10" s="50" t="s">
        <v>862</v>
      </c>
      <c r="O10" s="55">
        <f>DATE(2014,10,1)</f>
        <v>41913</v>
      </c>
      <c r="P10" s="55">
        <f>DATE(2016,4,1)</f>
        <v>42461</v>
      </c>
      <c r="Q10" s="51">
        <v>1680</v>
      </c>
      <c r="S10" s="51">
        <v>1.5</v>
      </c>
      <c r="U10" s="1">
        <f t="shared" si="0"/>
        <v>549</v>
      </c>
      <c r="V10" s="31">
        <f t="shared" si="1"/>
        <v>3.0601092896174862</v>
      </c>
      <c r="W10" s="31">
        <f t="shared" si="2"/>
        <v>1116.9398907103825</v>
      </c>
      <c r="X10" s="31">
        <f t="shared" si="3"/>
        <v>1.3961748633879782</v>
      </c>
      <c r="AA10" s="32">
        <f t="shared" si="4"/>
        <v>42552</v>
      </c>
      <c r="AB10" s="32">
        <f t="shared" si="5"/>
        <v>42735</v>
      </c>
      <c r="AC10" s="50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0.69808743169398912</v>
      </c>
      <c r="AK10" s="23">
        <f t="shared" si="13"/>
        <v>0.69808743169398912</v>
      </c>
      <c r="AL10" s="23">
        <f t="shared" si="14"/>
        <v>1.0471311475409837</v>
      </c>
      <c r="AM10" s="23">
        <f t="shared" si="15"/>
        <v>0</v>
      </c>
      <c r="AN10" s="23">
        <f t="shared" si="16"/>
        <v>1.0471311475409837</v>
      </c>
      <c r="AQ10" s="32">
        <f t="shared" si="17"/>
        <v>42736</v>
      </c>
      <c r="AR10" s="32">
        <f t="shared" si="18"/>
        <v>42916</v>
      </c>
      <c r="AS10" s="50">
        <v>2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0.69808743169398912</v>
      </c>
      <c r="BA10" s="23">
        <f t="shared" si="26"/>
        <v>0.69808743169398912</v>
      </c>
      <c r="BB10" s="23">
        <f t="shared" si="27"/>
        <v>1.0471311475409837</v>
      </c>
      <c r="BC10" s="23">
        <f t="shared" si="28"/>
        <v>0</v>
      </c>
      <c r="BD10" s="23">
        <f t="shared" si="29"/>
        <v>1.0471311475409837</v>
      </c>
    </row>
    <row r="11" spans="1:57">
      <c r="A11" s="1" t="s">
        <v>20</v>
      </c>
      <c r="B11" s="1" t="s">
        <v>46</v>
      </c>
      <c r="C11" s="1" t="s">
        <v>22</v>
      </c>
      <c r="D11" s="1" t="s">
        <v>48</v>
      </c>
      <c r="E11" s="51" t="s">
        <v>154</v>
      </c>
      <c r="F11" s="51" t="s">
        <v>108</v>
      </c>
      <c r="G11" s="51" t="s">
        <v>109</v>
      </c>
      <c r="H11" s="1" t="s">
        <v>224</v>
      </c>
      <c r="I11" s="1" t="s">
        <v>167</v>
      </c>
      <c r="J11" s="51" t="s">
        <v>112</v>
      </c>
      <c r="K11" s="51" t="s">
        <v>112</v>
      </c>
      <c r="L11" s="51" t="s">
        <v>148</v>
      </c>
      <c r="M11" s="1">
        <v>1971427</v>
      </c>
      <c r="N11" s="50" t="s">
        <v>863</v>
      </c>
      <c r="O11" s="55">
        <f>DATE(2014,10,1)</f>
        <v>41913</v>
      </c>
      <c r="P11" s="55">
        <f>DATE(2016,4,1)</f>
        <v>42461</v>
      </c>
      <c r="Q11" s="51">
        <v>1680</v>
      </c>
      <c r="S11" s="51">
        <v>1</v>
      </c>
      <c r="U11" s="1">
        <f t="shared" si="0"/>
        <v>549</v>
      </c>
      <c r="V11" s="31">
        <f t="shared" si="1"/>
        <v>3.0601092896174862</v>
      </c>
      <c r="W11" s="31">
        <f t="shared" si="2"/>
        <v>1116.9398907103825</v>
      </c>
      <c r="X11" s="31">
        <f t="shared" si="3"/>
        <v>1.3961748633879782</v>
      </c>
      <c r="AA11" s="32">
        <f t="shared" si="4"/>
        <v>42552</v>
      </c>
      <c r="AB11" s="32">
        <f t="shared" si="5"/>
        <v>42735</v>
      </c>
      <c r="AC11" s="50">
        <v>16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0.69808743169398912</v>
      </c>
      <c r="AK11" s="23">
        <f t="shared" si="13"/>
        <v>5.584699453551913</v>
      </c>
      <c r="AL11" s="23">
        <f t="shared" si="14"/>
        <v>5.584699453551913</v>
      </c>
      <c r="AM11" s="23">
        <f t="shared" si="15"/>
        <v>0</v>
      </c>
      <c r="AN11" s="23">
        <f t="shared" si="16"/>
        <v>5.584699453551913</v>
      </c>
      <c r="AQ11" s="32">
        <f t="shared" si="17"/>
        <v>42736</v>
      </c>
      <c r="AR11" s="32">
        <f t="shared" si="18"/>
        <v>42916</v>
      </c>
      <c r="AS11" s="50">
        <v>16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0.69808743169398912</v>
      </c>
      <c r="BA11" s="23">
        <f t="shared" si="26"/>
        <v>5.584699453551913</v>
      </c>
      <c r="BB11" s="23">
        <f t="shared" si="27"/>
        <v>5.584699453551913</v>
      </c>
      <c r="BC11" s="23">
        <f t="shared" si="28"/>
        <v>0</v>
      </c>
      <c r="BD11" s="23">
        <f t="shared" si="29"/>
        <v>5.584699453551913</v>
      </c>
    </row>
    <row r="12" spans="1:57">
      <c r="A12" s="48" t="s">
        <v>20</v>
      </c>
      <c r="B12" s="1" t="s">
        <v>46</v>
      </c>
      <c r="C12" s="1" t="s">
        <v>22</v>
      </c>
      <c r="D12" s="1" t="s">
        <v>48</v>
      </c>
      <c r="E12" s="51" t="s">
        <v>154</v>
      </c>
      <c r="F12" s="51" t="s">
        <v>108</v>
      </c>
      <c r="G12" s="51" t="s">
        <v>109</v>
      </c>
      <c r="H12" s="1" t="s">
        <v>110</v>
      </c>
      <c r="I12" s="1" t="s">
        <v>111</v>
      </c>
      <c r="J12" s="51" t="s">
        <v>112</v>
      </c>
      <c r="K12" s="51" t="s">
        <v>112</v>
      </c>
      <c r="L12" s="51" t="s">
        <v>148</v>
      </c>
      <c r="M12" s="1">
        <v>1971429</v>
      </c>
      <c r="N12" s="50" t="s">
        <v>864</v>
      </c>
      <c r="O12" s="55">
        <f>DATE(2014,10,1)</f>
        <v>41913</v>
      </c>
      <c r="P12" s="55">
        <f>DATE(2016,4,1)</f>
        <v>42461</v>
      </c>
      <c r="Q12" s="51">
        <v>1130</v>
      </c>
      <c r="S12" s="51">
        <v>2</v>
      </c>
      <c r="U12" s="1">
        <f t="shared" si="0"/>
        <v>549</v>
      </c>
      <c r="V12" s="31">
        <f t="shared" si="1"/>
        <v>2.0582877959927139</v>
      </c>
      <c r="W12" s="31">
        <f t="shared" si="2"/>
        <v>751.27504553734059</v>
      </c>
      <c r="X12" s="31">
        <f t="shared" si="3"/>
        <v>0.93909380692167577</v>
      </c>
      <c r="AA12" s="32">
        <f t="shared" si="4"/>
        <v>42552</v>
      </c>
      <c r="AB12" s="32">
        <f t="shared" si="5"/>
        <v>42735</v>
      </c>
      <c r="AC12" s="50">
        <v>13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0.46954690346083788</v>
      </c>
      <c r="AK12" s="23">
        <f t="shared" si="13"/>
        <v>3.0520548724954462</v>
      </c>
      <c r="AL12" s="23">
        <f t="shared" si="14"/>
        <v>6.1041097449908923</v>
      </c>
      <c r="AM12" s="23">
        <f t="shared" si="15"/>
        <v>0</v>
      </c>
      <c r="AN12" s="23">
        <f t="shared" si="16"/>
        <v>6.1041097449908923</v>
      </c>
      <c r="AQ12" s="32">
        <f t="shared" si="17"/>
        <v>42736</v>
      </c>
      <c r="AR12" s="32">
        <f t="shared" si="18"/>
        <v>42916</v>
      </c>
      <c r="AS12" s="50">
        <v>13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0.46954690346083788</v>
      </c>
      <c r="BA12" s="23">
        <f t="shared" si="26"/>
        <v>3.0520548724954462</v>
      </c>
      <c r="BB12" s="23">
        <f t="shared" si="27"/>
        <v>6.1041097449908923</v>
      </c>
      <c r="BC12" s="23">
        <f t="shared" si="28"/>
        <v>0</v>
      </c>
      <c r="BD12" s="23">
        <f t="shared" si="29"/>
        <v>6.1041097449908923</v>
      </c>
    </row>
    <row r="13" spans="1:57">
      <c r="A13" s="1" t="s">
        <v>20</v>
      </c>
      <c r="B13" s="1" t="s">
        <v>46</v>
      </c>
      <c r="C13" s="1" t="s">
        <v>22</v>
      </c>
      <c r="D13" s="1" t="s">
        <v>48</v>
      </c>
      <c r="E13" s="51" t="s">
        <v>107</v>
      </c>
      <c r="F13" s="51" t="s">
        <v>108</v>
      </c>
      <c r="G13" s="51" t="s">
        <v>109</v>
      </c>
      <c r="H13" s="1" t="s">
        <v>127</v>
      </c>
      <c r="I13" s="1" t="s">
        <v>128</v>
      </c>
      <c r="J13" s="51" t="s">
        <v>112</v>
      </c>
      <c r="K13" s="51" t="s">
        <v>112</v>
      </c>
      <c r="L13" s="51" t="s">
        <v>112</v>
      </c>
      <c r="M13" s="1">
        <v>1971544</v>
      </c>
      <c r="N13" s="56" t="s">
        <v>865</v>
      </c>
      <c r="O13" s="55">
        <f>DATE(2011,8,1)</f>
        <v>40756</v>
      </c>
      <c r="P13" s="55">
        <f>DATE(2013,8,1)</f>
        <v>41487</v>
      </c>
      <c r="Q13" s="51">
        <v>1200</v>
      </c>
      <c r="S13" s="51">
        <v>2.5</v>
      </c>
      <c r="U13" s="1">
        <f t="shared" si="0"/>
        <v>732</v>
      </c>
      <c r="V13" s="31">
        <f t="shared" si="1"/>
        <v>1.639344262295082</v>
      </c>
      <c r="W13" s="31">
        <f t="shared" si="2"/>
        <v>598.36065573770497</v>
      </c>
      <c r="X13" s="31">
        <f t="shared" si="3"/>
        <v>0.74795081967213117</v>
      </c>
      <c r="AA13" s="32">
        <f t="shared" si="4"/>
        <v>42552</v>
      </c>
      <c r="AB13" s="32">
        <f t="shared" si="5"/>
        <v>42735</v>
      </c>
      <c r="AC13" s="50">
        <v>21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0.37397540983606559</v>
      </c>
      <c r="AK13" s="23">
        <f t="shared" si="13"/>
        <v>3.9267418032786887</v>
      </c>
      <c r="AL13" s="23">
        <f t="shared" si="14"/>
        <v>9.8168545081967213</v>
      </c>
      <c r="AM13" s="23">
        <f t="shared" si="15"/>
        <v>0</v>
      </c>
      <c r="AN13" s="23">
        <f t="shared" si="16"/>
        <v>9.8168545081967213</v>
      </c>
      <c r="AQ13" s="32">
        <f t="shared" si="17"/>
        <v>42736</v>
      </c>
      <c r="AR13" s="32">
        <f t="shared" si="18"/>
        <v>42916</v>
      </c>
      <c r="AS13" s="56">
        <v>0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0.37397540983606559</v>
      </c>
      <c r="BA13" s="23">
        <f t="shared" si="26"/>
        <v>0</v>
      </c>
      <c r="BB13" s="23">
        <f t="shared" si="27"/>
        <v>0</v>
      </c>
      <c r="BC13" s="23">
        <f t="shared" si="28"/>
        <v>0</v>
      </c>
      <c r="BD13" s="23">
        <f t="shared" si="29"/>
        <v>0</v>
      </c>
    </row>
    <row r="14" spans="1:57">
      <c r="A14" s="1" t="s">
        <v>20</v>
      </c>
      <c r="B14" s="1" t="s">
        <v>46</v>
      </c>
      <c r="C14" s="1" t="s">
        <v>22</v>
      </c>
      <c r="D14" s="1" t="s">
        <v>48</v>
      </c>
      <c r="E14" s="51" t="s">
        <v>107</v>
      </c>
      <c r="F14" s="51" t="s">
        <v>108</v>
      </c>
      <c r="G14" s="51" t="s">
        <v>109</v>
      </c>
      <c r="H14" s="1" t="s">
        <v>124</v>
      </c>
      <c r="I14" s="1" t="s">
        <v>125</v>
      </c>
      <c r="J14" s="51" t="s">
        <v>112</v>
      </c>
      <c r="K14" s="51" t="s">
        <v>112</v>
      </c>
      <c r="L14" s="51" t="s">
        <v>112</v>
      </c>
      <c r="M14" s="1">
        <v>1971554</v>
      </c>
      <c r="N14" s="50" t="s">
        <v>866</v>
      </c>
      <c r="O14" s="55">
        <f>DATE(2014,1,20)</f>
        <v>41659</v>
      </c>
      <c r="P14" s="55">
        <f>DATE(2016,1,20)</f>
        <v>42389</v>
      </c>
      <c r="Q14" s="51">
        <v>1790</v>
      </c>
      <c r="S14" s="51">
        <v>2.5</v>
      </c>
      <c r="U14" s="1">
        <f t="shared" si="0"/>
        <v>731</v>
      </c>
      <c r="V14" s="31">
        <f t="shared" si="1"/>
        <v>2.4487004103967167</v>
      </c>
      <c r="W14" s="31">
        <f t="shared" si="2"/>
        <v>893.77564979480155</v>
      </c>
      <c r="X14" s="31">
        <f t="shared" si="3"/>
        <v>1.1172195622435019</v>
      </c>
      <c r="AA14" s="32">
        <f t="shared" si="4"/>
        <v>42552</v>
      </c>
      <c r="AB14" s="32">
        <f t="shared" si="5"/>
        <v>42735</v>
      </c>
      <c r="AC14" s="50">
        <v>48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0.55860978112175097</v>
      </c>
      <c r="AK14" s="23">
        <f t="shared" si="13"/>
        <v>13.406634746922023</v>
      </c>
      <c r="AL14" s="23">
        <f t="shared" si="14"/>
        <v>33.516586867305058</v>
      </c>
      <c r="AM14" s="23">
        <f t="shared" si="15"/>
        <v>0</v>
      </c>
      <c r="AN14" s="23">
        <f t="shared" si="16"/>
        <v>33.516586867305058</v>
      </c>
      <c r="AQ14" s="32">
        <f t="shared" si="17"/>
        <v>42736</v>
      </c>
      <c r="AR14" s="32">
        <f t="shared" si="18"/>
        <v>42916</v>
      </c>
      <c r="AS14" s="50">
        <v>33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0.55860978112175097</v>
      </c>
      <c r="BA14" s="23">
        <f t="shared" si="26"/>
        <v>9.2170613885088919</v>
      </c>
      <c r="BB14" s="23">
        <f t="shared" si="27"/>
        <v>23.042653471272232</v>
      </c>
      <c r="BC14" s="23">
        <f t="shared" si="28"/>
        <v>0</v>
      </c>
      <c r="BD14" s="23">
        <f t="shared" si="29"/>
        <v>23.042653471272232</v>
      </c>
    </row>
    <row r="15" spans="1:57">
      <c r="A15" s="1" t="s">
        <v>20</v>
      </c>
      <c r="B15" s="1" t="s">
        <v>46</v>
      </c>
      <c r="C15" s="1" t="s">
        <v>22</v>
      </c>
      <c r="D15" s="1" t="s">
        <v>48</v>
      </c>
      <c r="E15" s="51" t="s">
        <v>107</v>
      </c>
      <c r="F15" s="51" t="s">
        <v>108</v>
      </c>
      <c r="G15" s="51" t="s">
        <v>109</v>
      </c>
      <c r="H15" s="1" t="s">
        <v>110</v>
      </c>
      <c r="I15" s="1" t="s">
        <v>111</v>
      </c>
      <c r="J15" s="51" t="s">
        <v>112</v>
      </c>
      <c r="K15" s="51" t="s">
        <v>112</v>
      </c>
      <c r="L15" s="51" t="s">
        <v>112</v>
      </c>
      <c r="M15" s="1">
        <v>1971555</v>
      </c>
      <c r="N15" s="50" t="s">
        <v>867</v>
      </c>
      <c r="O15" s="55">
        <f>DATE(2014,1,20)</f>
        <v>41659</v>
      </c>
      <c r="P15" s="55">
        <f>DATE(2016,1,20)</f>
        <v>42389</v>
      </c>
      <c r="Q15" s="51">
        <v>1581</v>
      </c>
      <c r="S15" s="51">
        <v>2</v>
      </c>
      <c r="U15" s="1">
        <f t="shared" si="0"/>
        <v>731</v>
      </c>
      <c r="V15" s="31">
        <f t="shared" si="1"/>
        <v>2.1627906976744184</v>
      </c>
      <c r="W15" s="31">
        <f t="shared" si="2"/>
        <v>789.4186046511627</v>
      </c>
      <c r="X15" s="31">
        <f t="shared" si="3"/>
        <v>0.98677325581395336</v>
      </c>
      <c r="AA15" s="32">
        <f t="shared" si="4"/>
        <v>42552</v>
      </c>
      <c r="AB15" s="32">
        <f t="shared" si="5"/>
        <v>42735</v>
      </c>
      <c r="AC15" s="50">
        <v>29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0.49338662790697668</v>
      </c>
      <c r="AK15" s="23">
        <f t="shared" si="13"/>
        <v>7.154106104651162</v>
      </c>
      <c r="AL15" s="23">
        <f t="shared" si="14"/>
        <v>14.308212209302324</v>
      </c>
      <c r="AM15" s="23">
        <f t="shared" si="15"/>
        <v>0</v>
      </c>
      <c r="AN15" s="23">
        <f t="shared" si="16"/>
        <v>14.308212209302324</v>
      </c>
      <c r="AQ15" s="32">
        <f t="shared" si="17"/>
        <v>42736</v>
      </c>
      <c r="AR15" s="32">
        <f t="shared" si="18"/>
        <v>42916</v>
      </c>
      <c r="AS15" s="50">
        <v>28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0.49338662790697668</v>
      </c>
      <c r="BA15" s="23">
        <f t="shared" si="26"/>
        <v>6.9074127906976734</v>
      </c>
      <c r="BB15" s="23">
        <f t="shared" si="27"/>
        <v>13.814825581395347</v>
      </c>
      <c r="BC15" s="23">
        <f t="shared" si="28"/>
        <v>0</v>
      </c>
      <c r="BD15" s="23">
        <f t="shared" si="29"/>
        <v>13.814825581395347</v>
      </c>
    </row>
    <row r="16" spans="1:57">
      <c r="A16" s="1" t="s">
        <v>20</v>
      </c>
      <c r="B16" s="1" t="s">
        <v>46</v>
      </c>
      <c r="C16" s="1" t="s">
        <v>22</v>
      </c>
      <c r="D16" s="1" t="s">
        <v>48</v>
      </c>
      <c r="E16" s="51" t="s">
        <v>107</v>
      </c>
      <c r="F16" s="51" t="s">
        <v>108</v>
      </c>
      <c r="G16" s="51" t="s">
        <v>109</v>
      </c>
      <c r="H16" s="1" t="s">
        <v>285</v>
      </c>
      <c r="I16" s="1" t="s">
        <v>125</v>
      </c>
      <c r="J16" s="51" t="s">
        <v>112</v>
      </c>
      <c r="K16" s="51" t="s">
        <v>112</v>
      </c>
      <c r="L16" s="51" t="s">
        <v>112</v>
      </c>
      <c r="M16" s="1">
        <v>1975920</v>
      </c>
      <c r="N16" s="50" t="s">
        <v>868</v>
      </c>
      <c r="O16" s="55">
        <f t="shared" ref="O16:O21" si="30">DATE(2014,10,6)</f>
        <v>41918</v>
      </c>
      <c r="P16" s="55">
        <f t="shared" ref="P16:P21" si="31">DATE(2016,10,6)</f>
        <v>42649</v>
      </c>
      <c r="Q16" s="51">
        <v>1340</v>
      </c>
      <c r="S16" s="51">
        <v>2.5</v>
      </c>
      <c r="U16" s="1">
        <f t="shared" si="0"/>
        <v>732</v>
      </c>
      <c r="V16" s="31">
        <f t="shared" si="1"/>
        <v>1.8306010928961749</v>
      </c>
      <c r="W16" s="31">
        <f t="shared" si="2"/>
        <v>668.16939890710387</v>
      </c>
      <c r="X16" s="31">
        <f t="shared" si="3"/>
        <v>0.83521174863387981</v>
      </c>
      <c r="AA16" s="32">
        <f t="shared" si="4"/>
        <v>42552</v>
      </c>
      <c r="AB16" s="32">
        <f t="shared" si="5"/>
        <v>42735</v>
      </c>
      <c r="AC16" s="50">
        <v>43</v>
      </c>
      <c r="AD16" s="1">
        <f t="shared" si="6"/>
        <v>0</v>
      </c>
      <c r="AE16" s="1">
        <f t="shared" si="7"/>
        <v>0</v>
      </c>
      <c r="AF16" s="1">
        <f t="shared" si="8"/>
        <v>98</v>
      </c>
      <c r="AG16" s="1">
        <f t="shared" si="9"/>
        <v>0</v>
      </c>
      <c r="AH16" s="1">
        <f t="shared" si="10"/>
        <v>0</v>
      </c>
      <c r="AI16" s="23">
        <f t="shared" si="11"/>
        <v>0.53260869565217395</v>
      </c>
      <c r="AJ16" s="23">
        <f t="shared" si="12"/>
        <v>0.44484104003326208</v>
      </c>
      <c r="AK16" s="23">
        <f t="shared" si="13"/>
        <v>19.12816472143027</v>
      </c>
      <c r="AL16" s="23">
        <f t="shared" si="14"/>
        <v>47.820411803575674</v>
      </c>
      <c r="AM16" s="23">
        <f t="shared" si="15"/>
        <v>0</v>
      </c>
      <c r="AN16" s="23">
        <f t="shared" si="16"/>
        <v>47.820411803575674</v>
      </c>
      <c r="AQ16" s="32">
        <f t="shared" si="17"/>
        <v>42736</v>
      </c>
      <c r="AR16" s="32">
        <f t="shared" si="18"/>
        <v>42916</v>
      </c>
      <c r="AS16" s="50">
        <v>28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0.41760587431693991</v>
      </c>
      <c r="BA16" s="23">
        <f t="shared" si="26"/>
        <v>5.846482240437159</v>
      </c>
      <c r="BB16" s="23">
        <f t="shared" si="27"/>
        <v>14.616205601092897</v>
      </c>
      <c r="BC16" s="23">
        <f t="shared" si="28"/>
        <v>0</v>
      </c>
      <c r="BD16" s="23">
        <f t="shared" si="29"/>
        <v>14.616205601092897</v>
      </c>
    </row>
    <row r="17" spans="1:56">
      <c r="A17" s="1" t="s">
        <v>20</v>
      </c>
      <c r="B17" s="1" t="s">
        <v>46</v>
      </c>
      <c r="C17" s="1" t="s">
        <v>22</v>
      </c>
      <c r="D17" s="1" t="s">
        <v>48</v>
      </c>
      <c r="E17" s="51" t="s">
        <v>107</v>
      </c>
      <c r="F17" s="51" t="s">
        <v>108</v>
      </c>
      <c r="G17" s="51" t="s">
        <v>109</v>
      </c>
      <c r="H17" s="1" t="s">
        <v>283</v>
      </c>
      <c r="I17" s="1" t="s">
        <v>128</v>
      </c>
      <c r="J17" s="51" t="s">
        <v>112</v>
      </c>
      <c r="K17" s="51" t="s">
        <v>112</v>
      </c>
      <c r="L17" s="51" t="s">
        <v>112</v>
      </c>
      <c r="M17" s="1">
        <v>1975922</v>
      </c>
      <c r="N17" s="50" t="s">
        <v>869</v>
      </c>
      <c r="O17" s="55">
        <f t="shared" si="30"/>
        <v>41918</v>
      </c>
      <c r="P17" s="55">
        <f t="shared" si="31"/>
        <v>42649</v>
      </c>
      <c r="Q17" s="51">
        <v>1650</v>
      </c>
      <c r="S17" s="51">
        <v>2.5</v>
      </c>
      <c r="U17" s="1">
        <f t="shared" si="0"/>
        <v>732</v>
      </c>
      <c r="V17" s="31">
        <f t="shared" si="1"/>
        <v>2.2540983606557377</v>
      </c>
      <c r="W17" s="31">
        <f t="shared" si="2"/>
        <v>822.7459016393442</v>
      </c>
      <c r="X17" s="31">
        <f t="shared" si="3"/>
        <v>1.0284323770491803</v>
      </c>
      <c r="AA17" s="32">
        <f t="shared" si="4"/>
        <v>42552</v>
      </c>
      <c r="AB17" s="32">
        <f t="shared" si="5"/>
        <v>42735</v>
      </c>
      <c r="AC17" s="50">
        <v>22</v>
      </c>
      <c r="AD17" s="1">
        <f t="shared" si="6"/>
        <v>0</v>
      </c>
      <c r="AE17" s="1">
        <f t="shared" si="7"/>
        <v>0</v>
      </c>
      <c r="AF17" s="1">
        <f t="shared" si="8"/>
        <v>98</v>
      </c>
      <c r="AG17" s="1">
        <f t="shared" si="9"/>
        <v>0</v>
      </c>
      <c r="AH17" s="1">
        <f t="shared" si="10"/>
        <v>0</v>
      </c>
      <c r="AI17" s="23">
        <f t="shared" si="11"/>
        <v>0.53260869565217395</v>
      </c>
      <c r="AJ17" s="23">
        <f t="shared" si="12"/>
        <v>0.54775202690662872</v>
      </c>
      <c r="AK17" s="23">
        <f t="shared" si="13"/>
        <v>12.050544591945831</v>
      </c>
      <c r="AL17" s="23">
        <f t="shared" si="14"/>
        <v>30.126361479864578</v>
      </c>
      <c r="AM17" s="23">
        <f t="shared" si="15"/>
        <v>0</v>
      </c>
      <c r="AN17" s="23">
        <f t="shared" si="16"/>
        <v>30.126361479864578</v>
      </c>
      <c r="AQ17" s="32">
        <f t="shared" si="17"/>
        <v>42736</v>
      </c>
      <c r="AR17" s="32">
        <f t="shared" si="18"/>
        <v>42916</v>
      </c>
      <c r="AS17" s="50">
        <v>13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0.51421618852459017</v>
      </c>
      <c r="BA17" s="23">
        <f t="shared" si="26"/>
        <v>3.342405225409836</v>
      </c>
      <c r="BB17" s="23">
        <f t="shared" si="27"/>
        <v>8.3560130635245891</v>
      </c>
      <c r="BC17" s="23">
        <f t="shared" si="28"/>
        <v>0</v>
      </c>
      <c r="BD17" s="23">
        <f t="shared" si="29"/>
        <v>8.3560130635245891</v>
      </c>
    </row>
    <row r="18" spans="1:56">
      <c r="A18" s="1" t="s">
        <v>20</v>
      </c>
      <c r="B18" s="1" t="s">
        <v>46</v>
      </c>
      <c r="C18" s="1" t="s">
        <v>22</v>
      </c>
      <c r="D18" s="1" t="s">
        <v>48</v>
      </c>
      <c r="E18" s="51" t="s">
        <v>107</v>
      </c>
      <c r="F18" s="51" t="s">
        <v>108</v>
      </c>
      <c r="G18" s="51" t="s">
        <v>109</v>
      </c>
      <c r="H18" s="1" t="s">
        <v>124</v>
      </c>
      <c r="I18" s="1" t="s">
        <v>125</v>
      </c>
      <c r="J18" s="51" t="s">
        <v>112</v>
      </c>
      <c r="K18" s="51" t="s">
        <v>112</v>
      </c>
      <c r="L18" s="51" t="s">
        <v>112</v>
      </c>
      <c r="M18" s="1">
        <v>1975931</v>
      </c>
      <c r="N18" s="50" t="s">
        <v>870</v>
      </c>
      <c r="O18" s="55">
        <f t="shared" si="30"/>
        <v>41918</v>
      </c>
      <c r="P18" s="55">
        <f t="shared" si="31"/>
        <v>42649</v>
      </c>
      <c r="Q18" s="51">
        <v>1790</v>
      </c>
      <c r="S18" s="51">
        <v>2.5</v>
      </c>
      <c r="U18" s="1">
        <f t="shared" si="0"/>
        <v>732</v>
      </c>
      <c r="V18" s="31">
        <f t="shared" si="1"/>
        <v>2.4453551912568305</v>
      </c>
      <c r="W18" s="31">
        <f t="shared" si="2"/>
        <v>892.55464480874309</v>
      </c>
      <c r="X18" s="31">
        <f t="shared" si="3"/>
        <v>1.1156933060109289</v>
      </c>
      <c r="AA18" s="32">
        <f t="shared" si="4"/>
        <v>42552</v>
      </c>
      <c r="AB18" s="32">
        <f t="shared" si="5"/>
        <v>42735</v>
      </c>
      <c r="AC18" s="50">
        <v>25</v>
      </c>
      <c r="AD18" s="1">
        <f t="shared" si="6"/>
        <v>0</v>
      </c>
      <c r="AE18" s="1">
        <f t="shared" si="7"/>
        <v>0</v>
      </c>
      <c r="AF18" s="1">
        <f t="shared" si="8"/>
        <v>98</v>
      </c>
      <c r="AG18" s="1">
        <f t="shared" si="9"/>
        <v>0</v>
      </c>
      <c r="AH18" s="1">
        <f t="shared" si="10"/>
        <v>0</v>
      </c>
      <c r="AI18" s="23">
        <f t="shared" si="11"/>
        <v>0.53260869565217395</v>
      </c>
      <c r="AJ18" s="23">
        <f t="shared" si="12"/>
        <v>0.59422795646234261</v>
      </c>
      <c r="AK18" s="23">
        <f t="shared" si="13"/>
        <v>14.855698911558566</v>
      </c>
      <c r="AL18" s="23">
        <f t="shared" si="14"/>
        <v>37.139247278896413</v>
      </c>
      <c r="AM18" s="23">
        <f t="shared" si="15"/>
        <v>0</v>
      </c>
      <c r="AN18" s="23">
        <f t="shared" si="16"/>
        <v>37.139247278896413</v>
      </c>
      <c r="AQ18" s="32">
        <f t="shared" si="17"/>
        <v>42736</v>
      </c>
      <c r="AR18" s="32">
        <f t="shared" si="18"/>
        <v>42916</v>
      </c>
      <c r="AS18" s="50">
        <v>25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0.55784665300546443</v>
      </c>
      <c r="BA18" s="23">
        <f t="shared" si="26"/>
        <v>6.9730831625683054</v>
      </c>
      <c r="BB18" s="23">
        <f t="shared" si="27"/>
        <v>17.432707906420763</v>
      </c>
      <c r="BC18" s="23">
        <f t="shared" si="28"/>
        <v>0</v>
      </c>
      <c r="BD18" s="23">
        <f t="shared" si="29"/>
        <v>17.432707906420763</v>
      </c>
    </row>
    <row r="19" spans="1:56">
      <c r="A19" s="1" t="s">
        <v>20</v>
      </c>
      <c r="B19" s="1" t="s">
        <v>46</v>
      </c>
      <c r="C19" s="1" t="s">
        <v>22</v>
      </c>
      <c r="D19" s="1" t="s">
        <v>48</v>
      </c>
      <c r="E19" s="51" t="s">
        <v>107</v>
      </c>
      <c r="F19" s="51" t="s">
        <v>108</v>
      </c>
      <c r="G19" s="51" t="s">
        <v>109</v>
      </c>
      <c r="H19" s="1" t="s">
        <v>127</v>
      </c>
      <c r="I19" s="1" t="s">
        <v>128</v>
      </c>
      <c r="J19" s="51" t="s">
        <v>112</v>
      </c>
      <c r="K19" s="51" t="s">
        <v>112</v>
      </c>
      <c r="L19" s="51" t="s">
        <v>112</v>
      </c>
      <c r="M19" s="1">
        <v>1975932</v>
      </c>
      <c r="N19" s="50" t="s">
        <v>871</v>
      </c>
      <c r="O19" s="55">
        <f t="shared" si="30"/>
        <v>41918</v>
      </c>
      <c r="P19" s="55">
        <f t="shared" si="31"/>
        <v>42649</v>
      </c>
      <c r="Q19" s="51">
        <v>1680</v>
      </c>
      <c r="S19" s="51">
        <v>2.5</v>
      </c>
      <c r="U19" s="1">
        <f t="shared" si="0"/>
        <v>732</v>
      </c>
      <c r="V19" s="31">
        <f t="shared" si="1"/>
        <v>2.2950819672131146</v>
      </c>
      <c r="W19" s="31">
        <f t="shared" si="2"/>
        <v>837.70491803278685</v>
      </c>
      <c r="X19" s="31">
        <f t="shared" si="3"/>
        <v>1.0471311475409835</v>
      </c>
      <c r="AA19" s="32">
        <f t="shared" si="4"/>
        <v>42552</v>
      </c>
      <c r="AB19" s="32">
        <f t="shared" si="5"/>
        <v>42735</v>
      </c>
      <c r="AC19" s="50">
        <v>48</v>
      </c>
      <c r="AD19" s="1">
        <f t="shared" si="6"/>
        <v>0</v>
      </c>
      <c r="AE19" s="1">
        <f t="shared" si="7"/>
        <v>0</v>
      </c>
      <c r="AF19" s="1">
        <f t="shared" si="8"/>
        <v>98</v>
      </c>
      <c r="AG19" s="1">
        <f t="shared" si="9"/>
        <v>0</v>
      </c>
      <c r="AH19" s="1">
        <f t="shared" si="10"/>
        <v>0</v>
      </c>
      <c r="AI19" s="23">
        <f t="shared" si="11"/>
        <v>0.53260869565217395</v>
      </c>
      <c r="AJ19" s="23">
        <f t="shared" si="12"/>
        <v>0.55771115466856735</v>
      </c>
      <c r="AK19" s="23">
        <f t="shared" si="13"/>
        <v>26.770135424091233</v>
      </c>
      <c r="AL19" s="23">
        <f t="shared" si="14"/>
        <v>66.925338560228084</v>
      </c>
      <c r="AM19" s="23">
        <f t="shared" si="15"/>
        <v>0</v>
      </c>
      <c r="AN19" s="23">
        <f t="shared" si="16"/>
        <v>66.925338560228084</v>
      </c>
      <c r="AQ19" s="32">
        <f t="shared" si="17"/>
        <v>42736</v>
      </c>
      <c r="AR19" s="32">
        <f t="shared" si="18"/>
        <v>42916</v>
      </c>
      <c r="AS19" s="50">
        <v>40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0.52356557377049173</v>
      </c>
      <c r="BA19" s="23">
        <f t="shared" si="26"/>
        <v>10.471311475409834</v>
      </c>
      <c r="BB19" s="23">
        <f t="shared" si="27"/>
        <v>26.178278688524586</v>
      </c>
      <c r="BC19" s="23">
        <f t="shared" si="28"/>
        <v>0</v>
      </c>
      <c r="BD19" s="23">
        <f t="shared" si="29"/>
        <v>26.178278688524586</v>
      </c>
    </row>
    <row r="20" spans="1:56">
      <c r="A20" s="1" t="s">
        <v>20</v>
      </c>
      <c r="B20" s="1" t="s">
        <v>46</v>
      </c>
      <c r="C20" s="1" t="s">
        <v>22</v>
      </c>
      <c r="D20" s="1" t="s">
        <v>48</v>
      </c>
      <c r="E20" s="51" t="s">
        <v>107</v>
      </c>
      <c r="F20" s="51" t="s">
        <v>108</v>
      </c>
      <c r="G20" s="51" t="s">
        <v>109</v>
      </c>
      <c r="H20" s="1" t="s">
        <v>275</v>
      </c>
      <c r="I20" s="1" t="s">
        <v>128</v>
      </c>
      <c r="J20" s="51" t="s">
        <v>112</v>
      </c>
      <c r="K20" s="51" t="s">
        <v>112</v>
      </c>
      <c r="L20" s="51" t="s">
        <v>112</v>
      </c>
      <c r="M20" s="1">
        <v>1975933</v>
      </c>
      <c r="N20" s="50" t="s">
        <v>872</v>
      </c>
      <c r="O20" s="55">
        <f t="shared" si="30"/>
        <v>41918</v>
      </c>
      <c r="P20" s="55">
        <f t="shared" si="31"/>
        <v>42649</v>
      </c>
      <c r="Q20" s="51">
        <v>1610</v>
      </c>
      <c r="S20" s="51">
        <v>2.5</v>
      </c>
      <c r="U20" s="1">
        <f t="shared" si="0"/>
        <v>732</v>
      </c>
      <c r="V20" s="31">
        <f t="shared" si="1"/>
        <v>2.1994535519125682</v>
      </c>
      <c r="W20" s="31">
        <f t="shared" si="2"/>
        <v>802.8005464480874</v>
      </c>
      <c r="X20" s="31">
        <f t="shared" si="3"/>
        <v>1.0035006830601092</v>
      </c>
      <c r="AA20" s="32">
        <f t="shared" si="4"/>
        <v>42552</v>
      </c>
      <c r="AB20" s="32">
        <f t="shared" si="5"/>
        <v>42735</v>
      </c>
      <c r="AC20" s="50">
        <v>42</v>
      </c>
      <c r="AD20" s="1">
        <f t="shared" si="6"/>
        <v>0</v>
      </c>
      <c r="AE20" s="1">
        <f t="shared" si="7"/>
        <v>0</v>
      </c>
      <c r="AF20" s="1">
        <f t="shared" si="8"/>
        <v>98</v>
      </c>
      <c r="AG20" s="1">
        <f t="shared" si="9"/>
        <v>0</v>
      </c>
      <c r="AH20" s="1">
        <f t="shared" si="10"/>
        <v>0</v>
      </c>
      <c r="AI20" s="23">
        <f t="shared" si="11"/>
        <v>0.53260869565217395</v>
      </c>
      <c r="AJ20" s="23">
        <f t="shared" si="12"/>
        <v>0.53447318989071035</v>
      </c>
      <c r="AK20" s="23">
        <f t="shared" si="13"/>
        <v>22.447873975409834</v>
      </c>
      <c r="AL20" s="23">
        <f t="shared" si="14"/>
        <v>56.119684938524586</v>
      </c>
      <c r="AM20" s="23">
        <f t="shared" si="15"/>
        <v>0</v>
      </c>
      <c r="AN20" s="23">
        <f t="shared" si="16"/>
        <v>56.119684938524586</v>
      </c>
      <c r="AQ20" s="32">
        <f t="shared" si="17"/>
        <v>42736</v>
      </c>
      <c r="AR20" s="32">
        <f t="shared" si="18"/>
        <v>42916</v>
      </c>
      <c r="AS20" s="50">
        <v>8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0.5017503415300546</v>
      </c>
      <c r="BA20" s="23">
        <f t="shared" si="26"/>
        <v>2.0070013661202184</v>
      </c>
      <c r="BB20" s="23">
        <f t="shared" si="27"/>
        <v>5.0175034153005456</v>
      </c>
      <c r="BC20" s="23">
        <f t="shared" si="28"/>
        <v>0</v>
      </c>
      <c r="BD20" s="23">
        <f t="shared" si="29"/>
        <v>5.0175034153005456</v>
      </c>
    </row>
    <row r="21" spans="1:56">
      <c r="A21" s="1" t="s">
        <v>20</v>
      </c>
      <c r="B21" s="1" t="s">
        <v>46</v>
      </c>
      <c r="C21" s="1" t="s">
        <v>22</v>
      </c>
      <c r="D21" s="1" t="s">
        <v>48</v>
      </c>
      <c r="E21" s="51" t="s">
        <v>107</v>
      </c>
      <c r="F21" s="51" t="s">
        <v>108</v>
      </c>
      <c r="G21" s="51" t="s">
        <v>109</v>
      </c>
      <c r="H21" s="1" t="s">
        <v>110</v>
      </c>
      <c r="I21" s="1" t="s">
        <v>111</v>
      </c>
      <c r="J21" s="51" t="s">
        <v>112</v>
      </c>
      <c r="K21" s="51" t="s">
        <v>112</v>
      </c>
      <c r="L21" s="51" t="s">
        <v>112</v>
      </c>
      <c r="M21" s="1">
        <v>1975936</v>
      </c>
      <c r="N21" s="50" t="s">
        <v>873</v>
      </c>
      <c r="O21" s="55">
        <f t="shared" si="30"/>
        <v>41918</v>
      </c>
      <c r="P21" s="55">
        <f t="shared" si="31"/>
        <v>42649</v>
      </c>
      <c r="Q21" s="51">
        <v>1581</v>
      </c>
      <c r="S21" s="51">
        <v>2</v>
      </c>
      <c r="U21" s="1">
        <f t="shared" si="0"/>
        <v>732</v>
      </c>
      <c r="V21" s="31">
        <f t="shared" si="1"/>
        <v>2.1598360655737703</v>
      </c>
      <c r="W21" s="31">
        <f t="shared" si="2"/>
        <v>788.34016393442619</v>
      </c>
      <c r="X21" s="31">
        <f t="shared" si="3"/>
        <v>0.98542520491803276</v>
      </c>
      <c r="AA21" s="32">
        <f t="shared" si="4"/>
        <v>42552</v>
      </c>
      <c r="AB21" s="32">
        <f t="shared" si="5"/>
        <v>42735</v>
      </c>
      <c r="AC21" s="50">
        <v>19</v>
      </c>
      <c r="AD21" s="1">
        <f t="shared" si="6"/>
        <v>0</v>
      </c>
      <c r="AE21" s="1">
        <f t="shared" si="7"/>
        <v>0</v>
      </c>
      <c r="AF21" s="1">
        <f t="shared" si="8"/>
        <v>98</v>
      </c>
      <c r="AG21" s="1">
        <f t="shared" si="9"/>
        <v>0</v>
      </c>
      <c r="AH21" s="1">
        <f t="shared" si="10"/>
        <v>0</v>
      </c>
      <c r="AI21" s="23">
        <f t="shared" si="11"/>
        <v>0.53260869565217395</v>
      </c>
      <c r="AJ21" s="23">
        <f t="shared" si="12"/>
        <v>0.52484603305416966</v>
      </c>
      <c r="AK21" s="23">
        <f t="shared" si="13"/>
        <v>9.9720746280292243</v>
      </c>
      <c r="AL21" s="23">
        <f t="shared" si="14"/>
        <v>19.944149256058449</v>
      </c>
      <c r="AM21" s="23">
        <f t="shared" si="15"/>
        <v>0</v>
      </c>
      <c r="AN21" s="23">
        <f t="shared" si="16"/>
        <v>19.944149256058449</v>
      </c>
      <c r="AQ21" s="32">
        <f t="shared" si="17"/>
        <v>42736</v>
      </c>
      <c r="AR21" s="32">
        <f t="shared" si="18"/>
        <v>42916</v>
      </c>
      <c r="AS21" s="50">
        <v>19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0.49271260245901638</v>
      </c>
      <c r="BA21" s="23">
        <f t="shared" si="26"/>
        <v>4.6807697233606556</v>
      </c>
      <c r="BB21" s="23">
        <f t="shared" si="27"/>
        <v>9.3615394467213111</v>
      </c>
      <c r="BC21" s="23">
        <f t="shared" si="28"/>
        <v>0</v>
      </c>
      <c r="BD21" s="23">
        <f t="shared" si="29"/>
        <v>9.3615394467213111</v>
      </c>
    </row>
    <row r="22" spans="1:56">
      <c r="A22" s="1" t="s">
        <v>20</v>
      </c>
      <c r="B22" s="1" t="s">
        <v>46</v>
      </c>
      <c r="C22" s="1" t="s">
        <v>22</v>
      </c>
      <c r="D22" s="1" t="s">
        <v>48</v>
      </c>
      <c r="E22" s="51" t="s">
        <v>107</v>
      </c>
      <c r="F22" s="51" t="s">
        <v>232</v>
      </c>
      <c r="G22" s="51" t="s">
        <v>109</v>
      </c>
      <c r="H22" s="1" t="s">
        <v>874</v>
      </c>
      <c r="J22" s="51" t="s">
        <v>112</v>
      </c>
      <c r="K22" s="51" t="s">
        <v>112</v>
      </c>
      <c r="L22" s="51" t="s">
        <v>112</v>
      </c>
      <c r="M22" s="1">
        <v>2034894</v>
      </c>
      <c r="N22" s="50" t="s">
        <v>875</v>
      </c>
      <c r="O22" s="55">
        <f>DATE(2016,7,4)</f>
        <v>42555</v>
      </c>
      <c r="P22" s="55">
        <f>DATE(2016,8,4)</f>
        <v>42586</v>
      </c>
      <c r="Q22" s="51">
        <v>160</v>
      </c>
      <c r="S22" s="51">
        <v>1</v>
      </c>
      <c r="U22" s="1">
        <f t="shared" si="0"/>
        <v>32</v>
      </c>
      <c r="V22" s="31">
        <f t="shared" si="1"/>
        <v>5</v>
      </c>
      <c r="W22" s="31">
        <f t="shared" si="2"/>
        <v>160</v>
      </c>
      <c r="X22" s="31">
        <f t="shared" si="3"/>
        <v>0.2</v>
      </c>
      <c r="AA22" s="32">
        <f t="shared" si="4"/>
        <v>42552</v>
      </c>
      <c r="AB22" s="32">
        <f t="shared" si="5"/>
        <v>42735</v>
      </c>
      <c r="AC22" s="50">
        <v>20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32</v>
      </c>
      <c r="AH22" s="1">
        <f t="shared" si="10"/>
        <v>0</v>
      </c>
      <c r="AI22" s="23">
        <f t="shared" si="11"/>
        <v>0.17391304347826086</v>
      </c>
      <c r="AJ22" s="23">
        <f t="shared" si="12"/>
        <v>3.4782608695652174E-2</v>
      </c>
      <c r="AK22" s="23">
        <f t="shared" si="13"/>
        <v>0.69565217391304346</v>
      </c>
      <c r="AL22" s="23">
        <f t="shared" si="14"/>
        <v>0.69565217391304346</v>
      </c>
      <c r="AM22" s="23">
        <f t="shared" si="15"/>
        <v>0</v>
      </c>
      <c r="AN22" s="23">
        <f t="shared" si="16"/>
        <v>0.69565217391304346</v>
      </c>
      <c r="AQ22" s="32">
        <f t="shared" si="17"/>
        <v>42736</v>
      </c>
      <c r="AR22" s="32">
        <f t="shared" si="18"/>
        <v>42916</v>
      </c>
      <c r="AS22" s="50">
        <v>20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0.1</v>
      </c>
      <c r="BA22" s="23">
        <f t="shared" si="26"/>
        <v>1</v>
      </c>
      <c r="BB22" s="23">
        <f t="shared" si="27"/>
        <v>1</v>
      </c>
      <c r="BC22" s="23">
        <f t="shared" si="28"/>
        <v>0</v>
      </c>
      <c r="BD22" s="23">
        <f t="shared" si="29"/>
        <v>1</v>
      </c>
    </row>
    <row r="23" spans="1:56">
      <c r="A23" s="1" t="s">
        <v>20</v>
      </c>
      <c r="B23" s="1" t="s">
        <v>46</v>
      </c>
      <c r="C23" s="1" t="s">
        <v>22</v>
      </c>
      <c r="D23" s="1" t="s">
        <v>48</v>
      </c>
      <c r="E23" s="51" t="s">
        <v>107</v>
      </c>
      <c r="F23" s="51" t="s">
        <v>232</v>
      </c>
      <c r="G23" s="51" t="s">
        <v>109</v>
      </c>
      <c r="H23" s="1" t="s">
        <v>233</v>
      </c>
      <c r="I23" s="1" t="s">
        <v>234</v>
      </c>
      <c r="J23" s="51" t="s">
        <v>112</v>
      </c>
      <c r="K23" s="51" t="s">
        <v>112</v>
      </c>
      <c r="L23" s="51" t="s">
        <v>112</v>
      </c>
      <c r="M23" s="1">
        <v>2035083</v>
      </c>
      <c r="N23" s="50" t="s">
        <v>876</v>
      </c>
      <c r="O23" s="55">
        <f>DATE(2016,7,4)</f>
        <v>42555</v>
      </c>
      <c r="P23" s="55">
        <f>DATE(2016,8,4)</f>
        <v>42586</v>
      </c>
      <c r="Q23" s="51">
        <v>160</v>
      </c>
      <c r="S23" s="51">
        <v>1</v>
      </c>
      <c r="U23" s="1">
        <f t="shared" si="0"/>
        <v>32</v>
      </c>
      <c r="V23" s="31">
        <f t="shared" si="1"/>
        <v>5</v>
      </c>
      <c r="W23" s="31">
        <f t="shared" si="2"/>
        <v>160</v>
      </c>
      <c r="X23" s="31">
        <f t="shared" si="3"/>
        <v>0.2</v>
      </c>
      <c r="AA23" s="32">
        <f t="shared" si="4"/>
        <v>42552</v>
      </c>
      <c r="AB23" s="32">
        <f t="shared" si="5"/>
        <v>42735</v>
      </c>
      <c r="AC23" s="50">
        <v>50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32</v>
      </c>
      <c r="AH23" s="1">
        <f t="shared" si="10"/>
        <v>0</v>
      </c>
      <c r="AI23" s="23">
        <f t="shared" si="11"/>
        <v>0.17391304347826086</v>
      </c>
      <c r="AJ23" s="23">
        <f t="shared" si="12"/>
        <v>3.4782608695652174E-2</v>
      </c>
      <c r="AK23" s="23">
        <f t="shared" si="13"/>
        <v>1.7391304347826086</v>
      </c>
      <c r="AL23" s="23">
        <f t="shared" si="14"/>
        <v>1.7391304347826086</v>
      </c>
      <c r="AM23" s="23">
        <f t="shared" si="15"/>
        <v>0</v>
      </c>
      <c r="AN23" s="23">
        <f t="shared" si="16"/>
        <v>1.7391304347826086</v>
      </c>
      <c r="AQ23" s="32">
        <f t="shared" si="17"/>
        <v>42736</v>
      </c>
      <c r="AR23" s="32">
        <f t="shared" si="18"/>
        <v>42916</v>
      </c>
      <c r="AS23" s="50">
        <v>48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0.1</v>
      </c>
      <c r="BA23" s="23">
        <f t="shared" si="26"/>
        <v>2.4000000000000004</v>
      </c>
      <c r="BB23" s="23">
        <f t="shared" si="27"/>
        <v>2.4000000000000004</v>
      </c>
      <c r="BC23" s="23">
        <f t="shared" si="28"/>
        <v>0</v>
      </c>
      <c r="BD23" s="23">
        <f t="shared" si="29"/>
        <v>2.4000000000000004</v>
      </c>
    </row>
    <row r="24" spans="1:56">
      <c r="A24" s="1" t="s">
        <v>20</v>
      </c>
      <c r="B24" s="1" t="s">
        <v>46</v>
      </c>
      <c r="C24" s="1" t="s">
        <v>22</v>
      </c>
      <c r="D24" s="1" t="s">
        <v>48</v>
      </c>
      <c r="E24" s="51" t="s">
        <v>107</v>
      </c>
      <c r="F24" s="51" t="s">
        <v>232</v>
      </c>
      <c r="G24" s="51" t="s">
        <v>109</v>
      </c>
      <c r="H24" s="1" t="s">
        <v>247</v>
      </c>
      <c r="J24" s="51" t="s">
        <v>112</v>
      </c>
      <c r="K24" s="51" t="s">
        <v>112</v>
      </c>
      <c r="L24" s="51" t="s">
        <v>112</v>
      </c>
      <c r="M24" s="1">
        <v>2035397</v>
      </c>
      <c r="N24" s="50" t="s">
        <v>877</v>
      </c>
      <c r="O24" s="55">
        <f>DATE(2016,7,4)</f>
        <v>42555</v>
      </c>
      <c r="P24" s="55">
        <f>DATE(2016,12,30)</f>
        <v>42734</v>
      </c>
      <c r="Q24" s="51">
        <v>160</v>
      </c>
      <c r="S24" s="51">
        <v>1</v>
      </c>
      <c r="U24" s="1">
        <f t="shared" si="0"/>
        <v>180</v>
      </c>
      <c r="V24" s="31">
        <f t="shared" si="1"/>
        <v>0.88888888888888884</v>
      </c>
      <c r="W24" s="31">
        <f t="shared" si="2"/>
        <v>160</v>
      </c>
      <c r="X24" s="31">
        <f t="shared" si="3"/>
        <v>0.2</v>
      </c>
      <c r="AA24" s="32">
        <f t="shared" si="4"/>
        <v>42552</v>
      </c>
      <c r="AB24" s="32">
        <f t="shared" si="5"/>
        <v>42735</v>
      </c>
      <c r="AC24" s="50">
        <v>24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180</v>
      </c>
      <c r="AH24" s="1">
        <f t="shared" si="10"/>
        <v>0</v>
      </c>
      <c r="AI24" s="23">
        <f t="shared" si="11"/>
        <v>0.97826086956521741</v>
      </c>
      <c r="AJ24" s="23">
        <f t="shared" si="12"/>
        <v>0.19565217391304349</v>
      </c>
      <c r="AK24" s="23">
        <f t="shared" si="13"/>
        <v>4.6956521739130439</v>
      </c>
      <c r="AL24" s="23">
        <f t="shared" si="14"/>
        <v>4.6956521739130439</v>
      </c>
      <c r="AM24" s="23">
        <f t="shared" si="15"/>
        <v>0</v>
      </c>
      <c r="AN24" s="23">
        <f t="shared" si="16"/>
        <v>4.6956521739130439</v>
      </c>
      <c r="AQ24" s="32">
        <f t="shared" si="17"/>
        <v>42736</v>
      </c>
      <c r="AR24" s="32">
        <f t="shared" si="18"/>
        <v>42916</v>
      </c>
      <c r="AS24" s="50">
        <v>24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0.1</v>
      </c>
      <c r="BA24" s="23">
        <f t="shared" si="26"/>
        <v>1.2000000000000002</v>
      </c>
      <c r="BB24" s="23">
        <f t="shared" si="27"/>
        <v>1.2000000000000002</v>
      </c>
      <c r="BC24" s="23">
        <f t="shared" si="28"/>
        <v>0</v>
      </c>
      <c r="BD24" s="23">
        <f t="shared" si="29"/>
        <v>1.2000000000000002</v>
      </c>
    </row>
    <row r="25" spans="1:56">
      <c r="A25" s="1" t="s">
        <v>20</v>
      </c>
      <c r="B25" s="1" t="s">
        <v>46</v>
      </c>
      <c r="C25" s="1" t="s">
        <v>22</v>
      </c>
      <c r="D25" s="1" t="s">
        <v>48</v>
      </c>
      <c r="E25" s="51" t="s">
        <v>107</v>
      </c>
      <c r="F25" s="51" t="s">
        <v>232</v>
      </c>
      <c r="G25" s="51" t="s">
        <v>109</v>
      </c>
      <c r="H25" s="1" t="s">
        <v>878</v>
      </c>
      <c r="J25" s="51" t="s">
        <v>112</v>
      </c>
      <c r="K25" s="51" t="s">
        <v>112</v>
      </c>
      <c r="L25" s="51" t="s">
        <v>112</v>
      </c>
      <c r="M25" s="1">
        <v>2035421</v>
      </c>
      <c r="N25" s="50" t="s">
        <v>879</v>
      </c>
      <c r="O25" s="55">
        <f>DATE(2016,7,4)</f>
        <v>42555</v>
      </c>
      <c r="P25" s="55">
        <f>DATE(2016,12,30)</f>
        <v>42734</v>
      </c>
      <c r="Q25" s="51">
        <v>200</v>
      </c>
      <c r="S25" s="51">
        <v>1</v>
      </c>
      <c r="U25" s="1">
        <f t="shared" si="0"/>
        <v>180</v>
      </c>
      <c r="V25" s="31">
        <f t="shared" si="1"/>
        <v>1.1111111111111112</v>
      </c>
      <c r="W25" s="31">
        <f t="shared" si="2"/>
        <v>200</v>
      </c>
      <c r="X25" s="31">
        <f t="shared" si="3"/>
        <v>0.25</v>
      </c>
      <c r="AA25" s="32">
        <f t="shared" si="4"/>
        <v>42552</v>
      </c>
      <c r="AB25" s="32">
        <f t="shared" si="5"/>
        <v>42735</v>
      </c>
      <c r="AC25" s="50">
        <v>24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180</v>
      </c>
      <c r="AH25" s="1">
        <f t="shared" si="10"/>
        <v>0</v>
      </c>
      <c r="AI25" s="23">
        <f t="shared" si="11"/>
        <v>0.97826086956521741</v>
      </c>
      <c r="AJ25" s="23">
        <f t="shared" si="12"/>
        <v>0.24456521739130435</v>
      </c>
      <c r="AK25" s="23">
        <f t="shared" si="13"/>
        <v>5.8695652173913047</v>
      </c>
      <c r="AL25" s="23">
        <f t="shared" si="14"/>
        <v>5.8695652173913047</v>
      </c>
      <c r="AM25" s="23">
        <f t="shared" si="15"/>
        <v>0</v>
      </c>
      <c r="AN25" s="23">
        <f t="shared" si="16"/>
        <v>5.8695652173913047</v>
      </c>
      <c r="AQ25" s="32">
        <f t="shared" si="17"/>
        <v>42736</v>
      </c>
      <c r="AR25" s="32">
        <f t="shared" si="18"/>
        <v>42916</v>
      </c>
      <c r="AS25" s="50">
        <v>24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0.125</v>
      </c>
      <c r="BA25" s="23">
        <f t="shared" si="26"/>
        <v>1.5</v>
      </c>
      <c r="BB25" s="23">
        <f t="shared" si="27"/>
        <v>1.5</v>
      </c>
      <c r="BC25" s="23">
        <f t="shared" si="28"/>
        <v>0</v>
      </c>
      <c r="BD25" s="23">
        <f t="shared" si="29"/>
        <v>1.5</v>
      </c>
    </row>
    <row r="26" spans="1:56">
      <c r="A26" s="1" t="s">
        <v>20</v>
      </c>
      <c r="B26" s="1" t="s">
        <v>46</v>
      </c>
      <c r="C26" s="1" t="s">
        <v>22</v>
      </c>
      <c r="D26" s="1" t="s">
        <v>48</v>
      </c>
      <c r="E26" s="51" t="s">
        <v>107</v>
      </c>
      <c r="F26" s="51" t="s">
        <v>232</v>
      </c>
      <c r="G26" s="51" t="s">
        <v>109</v>
      </c>
      <c r="H26" s="1" t="s">
        <v>236</v>
      </c>
      <c r="I26" s="1" t="s">
        <v>125</v>
      </c>
      <c r="J26" s="51" t="s">
        <v>112</v>
      </c>
      <c r="K26" s="51" t="s">
        <v>112</v>
      </c>
      <c r="L26" s="51" t="s">
        <v>112</v>
      </c>
      <c r="M26" s="1">
        <v>2035434</v>
      </c>
      <c r="N26" s="50" t="s">
        <v>880</v>
      </c>
      <c r="O26" s="55">
        <f>DATE(2016,7,4)</f>
        <v>42555</v>
      </c>
      <c r="P26" s="55">
        <f>DATE(2016,12,30)</f>
        <v>42734</v>
      </c>
      <c r="Q26" s="51">
        <v>160</v>
      </c>
      <c r="S26" s="51">
        <v>1</v>
      </c>
      <c r="U26" s="1">
        <f t="shared" si="0"/>
        <v>180</v>
      </c>
      <c r="V26" s="31">
        <f t="shared" si="1"/>
        <v>0.88888888888888884</v>
      </c>
      <c r="W26" s="31">
        <f t="shared" si="2"/>
        <v>160</v>
      </c>
      <c r="X26" s="31">
        <f t="shared" si="3"/>
        <v>0.2</v>
      </c>
      <c r="AA26" s="32">
        <f t="shared" si="4"/>
        <v>42552</v>
      </c>
      <c r="AB26" s="32">
        <f t="shared" si="5"/>
        <v>42735</v>
      </c>
      <c r="AC26" s="50">
        <v>26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180</v>
      </c>
      <c r="AH26" s="1">
        <f t="shared" si="10"/>
        <v>0</v>
      </c>
      <c r="AI26" s="23">
        <f t="shared" si="11"/>
        <v>0.97826086956521741</v>
      </c>
      <c r="AJ26" s="23">
        <f t="shared" si="12"/>
        <v>0.19565217391304349</v>
      </c>
      <c r="AK26" s="23">
        <f t="shared" si="13"/>
        <v>5.0869565217391308</v>
      </c>
      <c r="AL26" s="23">
        <f t="shared" si="14"/>
        <v>5.0869565217391308</v>
      </c>
      <c r="AM26" s="23">
        <f t="shared" si="15"/>
        <v>0</v>
      </c>
      <c r="AN26" s="23">
        <f t="shared" si="16"/>
        <v>5.0869565217391308</v>
      </c>
      <c r="AQ26" s="32">
        <f t="shared" si="17"/>
        <v>42736</v>
      </c>
      <c r="AR26" s="32">
        <f t="shared" si="18"/>
        <v>42916</v>
      </c>
      <c r="AS26" s="50">
        <v>26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0.1</v>
      </c>
      <c r="BA26" s="23">
        <f t="shared" si="26"/>
        <v>1.3</v>
      </c>
      <c r="BB26" s="23">
        <f t="shared" si="27"/>
        <v>1.3</v>
      </c>
      <c r="BC26" s="23">
        <f t="shared" si="28"/>
        <v>0</v>
      </c>
      <c r="BD26" s="23">
        <f t="shared" si="29"/>
        <v>1.3</v>
      </c>
    </row>
    <row r="27" spans="1:56">
      <c r="A27" s="1" t="s">
        <v>20</v>
      </c>
      <c r="B27" s="1" t="s">
        <v>46</v>
      </c>
      <c r="C27" s="1" t="s">
        <v>22</v>
      </c>
      <c r="D27" s="1" t="s">
        <v>48</v>
      </c>
      <c r="E27" s="51" t="s">
        <v>107</v>
      </c>
      <c r="F27" s="51" t="s">
        <v>108</v>
      </c>
      <c r="G27" s="51" t="s">
        <v>109</v>
      </c>
      <c r="H27" s="1" t="s">
        <v>881</v>
      </c>
      <c r="I27" s="1" t="s">
        <v>131</v>
      </c>
      <c r="J27" s="51" t="s">
        <v>112</v>
      </c>
      <c r="K27" s="51" t="s">
        <v>112</v>
      </c>
      <c r="L27" s="51" t="s">
        <v>112</v>
      </c>
      <c r="M27" s="1">
        <v>2093219</v>
      </c>
      <c r="N27" s="50" t="s">
        <v>882</v>
      </c>
      <c r="O27" s="55">
        <f>DATE(2016,9,8)</f>
        <v>42621</v>
      </c>
      <c r="P27" s="55">
        <f>DATE(2019,4,13)</f>
        <v>43568</v>
      </c>
      <c r="Q27" s="51">
        <v>4020</v>
      </c>
      <c r="S27" s="51">
        <v>2</v>
      </c>
      <c r="U27" s="1">
        <f t="shared" si="0"/>
        <v>948</v>
      </c>
      <c r="V27" s="31">
        <f t="shared" si="1"/>
        <v>4.2405063291139244</v>
      </c>
      <c r="W27" s="31">
        <f t="shared" si="2"/>
        <v>1547.7848101265824</v>
      </c>
      <c r="X27" s="31">
        <f t="shared" si="3"/>
        <v>1.934731012658228</v>
      </c>
      <c r="AA27" s="32">
        <f t="shared" si="4"/>
        <v>42552</v>
      </c>
      <c r="AB27" s="32">
        <f t="shared" si="5"/>
        <v>42735</v>
      </c>
      <c r="AC27" s="50">
        <v>81</v>
      </c>
      <c r="AD27" s="1">
        <f t="shared" si="6"/>
        <v>0</v>
      </c>
      <c r="AE27" s="1">
        <f t="shared" si="7"/>
        <v>115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0.625</v>
      </c>
      <c r="AJ27" s="23">
        <f t="shared" si="12"/>
        <v>1.2092068829113924</v>
      </c>
      <c r="AK27" s="23">
        <f t="shared" si="13"/>
        <v>97.945757515822791</v>
      </c>
      <c r="AL27" s="23">
        <f t="shared" si="14"/>
        <v>195.89151503164558</v>
      </c>
      <c r="AM27" s="23">
        <f t="shared" si="15"/>
        <v>0</v>
      </c>
      <c r="AN27" s="23">
        <f t="shared" si="16"/>
        <v>195.89151503164558</v>
      </c>
      <c r="AQ27" s="32">
        <f t="shared" si="17"/>
        <v>42736</v>
      </c>
      <c r="AR27" s="32">
        <f t="shared" si="18"/>
        <v>42916</v>
      </c>
      <c r="AS27" s="50">
        <v>81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1.934731012658228</v>
      </c>
      <c r="BA27" s="23">
        <f t="shared" si="26"/>
        <v>156.71321202531647</v>
      </c>
      <c r="BB27" s="23">
        <f t="shared" si="27"/>
        <v>313.42642405063293</v>
      </c>
      <c r="BC27" s="23">
        <f t="shared" si="28"/>
        <v>0</v>
      </c>
      <c r="BD27" s="23">
        <f t="shared" si="29"/>
        <v>313.42642405063293</v>
      </c>
    </row>
    <row r="28" spans="1:56">
      <c r="A28" s="1" t="s">
        <v>20</v>
      </c>
      <c r="B28" s="1" t="s">
        <v>46</v>
      </c>
      <c r="C28" s="1" t="s">
        <v>22</v>
      </c>
      <c r="D28" s="1" t="s">
        <v>48</v>
      </c>
      <c r="E28" s="51" t="s">
        <v>107</v>
      </c>
      <c r="F28" s="51" t="s">
        <v>108</v>
      </c>
      <c r="G28" s="51" t="s">
        <v>109</v>
      </c>
      <c r="H28" s="1" t="s">
        <v>110</v>
      </c>
      <c r="I28" s="1" t="s">
        <v>111</v>
      </c>
      <c r="J28" s="51" t="s">
        <v>112</v>
      </c>
      <c r="K28" s="51" t="s">
        <v>112</v>
      </c>
      <c r="L28" s="51" t="s">
        <v>112</v>
      </c>
      <c r="M28" s="1">
        <v>2093281</v>
      </c>
      <c r="N28" s="50" t="s">
        <v>883</v>
      </c>
      <c r="O28" s="55">
        <f>DATE(2016,9,8)</f>
        <v>42621</v>
      </c>
      <c r="P28" s="55">
        <f>DATE(2019,4,13)</f>
        <v>43568</v>
      </c>
      <c r="Q28" s="51">
        <v>4120</v>
      </c>
      <c r="S28" s="51">
        <v>2</v>
      </c>
      <c r="U28" s="1">
        <f t="shared" si="0"/>
        <v>948</v>
      </c>
      <c r="V28" s="31">
        <f t="shared" si="1"/>
        <v>4.3459915611814344</v>
      </c>
      <c r="W28" s="31">
        <f t="shared" si="2"/>
        <v>1586.2869198312235</v>
      </c>
      <c r="X28" s="31">
        <f t="shared" si="3"/>
        <v>1.9828586497890293</v>
      </c>
      <c r="AA28" s="32">
        <f t="shared" si="4"/>
        <v>42552</v>
      </c>
      <c r="AB28" s="32">
        <f t="shared" si="5"/>
        <v>42735</v>
      </c>
      <c r="AC28" s="50">
        <v>78</v>
      </c>
      <c r="AD28" s="1">
        <f t="shared" si="6"/>
        <v>0</v>
      </c>
      <c r="AE28" s="1">
        <f t="shared" si="7"/>
        <v>115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0.625</v>
      </c>
      <c r="AJ28" s="23">
        <f t="shared" si="12"/>
        <v>1.2392866561181433</v>
      </c>
      <c r="AK28" s="23">
        <f t="shared" si="13"/>
        <v>96.664359177215175</v>
      </c>
      <c r="AL28" s="23">
        <f t="shared" si="14"/>
        <v>193.32871835443035</v>
      </c>
      <c r="AM28" s="23">
        <f t="shared" si="15"/>
        <v>0</v>
      </c>
      <c r="AN28" s="23">
        <f t="shared" si="16"/>
        <v>193.32871835443035</v>
      </c>
      <c r="AQ28" s="32">
        <f t="shared" si="17"/>
        <v>42736</v>
      </c>
      <c r="AR28" s="32">
        <f t="shared" si="18"/>
        <v>42916</v>
      </c>
      <c r="AS28" s="50">
        <v>78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1.9828586497890293</v>
      </c>
      <c r="BA28" s="23">
        <f t="shared" si="26"/>
        <v>154.66297468354429</v>
      </c>
      <c r="BB28" s="23">
        <f t="shared" si="27"/>
        <v>309.32594936708858</v>
      </c>
      <c r="BC28" s="23">
        <f t="shared" si="28"/>
        <v>0</v>
      </c>
      <c r="BD28" s="23">
        <f t="shared" si="29"/>
        <v>309.32594936708858</v>
      </c>
    </row>
    <row r="29" spans="1:56">
      <c r="A29" s="1" t="s">
        <v>20</v>
      </c>
      <c r="B29" s="1" t="s">
        <v>46</v>
      </c>
      <c r="C29" s="1" t="s">
        <v>22</v>
      </c>
      <c r="D29" s="1" t="s">
        <v>48</v>
      </c>
      <c r="E29" s="51" t="s">
        <v>107</v>
      </c>
      <c r="F29" s="51" t="s">
        <v>232</v>
      </c>
      <c r="G29" s="51" t="s">
        <v>109</v>
      </c>
      <c r="H29" s="1" t="s">
        <v>874</v>
      </c>
      <c r="J29" s="51" t="s">
        <v>112</v>
      </c>
      <c r="K29" s="51" t="s">
        <v>112</v>
      </c>
      <c r="L29" s="51" t="s">
        <v>112</v>
      </c>
      <c r="M29" s="1">
        <v>2136369</v>
      </c>
      <c r="N29" s="51" t="s">
        <v>884</v>
      </c>
      <c r="O29" s="55">
        <f>DATE(2017,1,30)</f>
        <v>42765</v>
      </c>
      <c r="P29" s="55">
        <f>DATE(2017,4,13)</f>
        <v>42838</v>
      </c>
      <c r="Q29" s="51">
        <v>160</v>
      </c>
      <c r="S29" s="51">
        <v>1</v>
      </c>
      <c r="U29" s="1">
        <f t="shared" si="0"/>
        <v>74</v>
      </c>
      <c r="V29" s="31">
        <f t="shared" si="1"/>
        <v>2.1621621621621623</v>
      </c>
      <c r="W29" s="31">
        <f t="shared" si="2"/>
        <v>160</v>
      </c>
      <c r="X29" s="31">
        <f t="shared" si="3"/>
        <v>0.2</v>
      </c>
      <c r="AA29" s="32">
        <f t="shared" si="4"/>
        <v>42552</v>
      </c>
      <c r="AB29" s="32">
        <f t="shared" si="5"/>
        <v>42735</v>
      </c>
      <c r="AC29" s="51">
        <v>0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Q29" s="32">
        <f t="shared" si="17"/>
        <v>42736</v>
      </c>
      <c r="AR29" s="32">
        <f t="shared" si="18"/>
        <v>42916</v>
      </c>
      <c r="AS29" s="51">
        <v>19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74</v>
      </c>
      <c r="AX29" s="1">
        <f t="shared" si="23"/>
        <v>0</v>
      </c>
      <c r="AY29" s="23">
        <f t="shared" si="24"/>
        <v>0.40883977900552487</v>
      </c>
      <c r="AZ29" s="23">
        <f t="shared" si="25"/>
        <v>8.1767955801104977E-2</v>
      </c>
      <c r="BA29" s="23">
        <f t="shared" si="26"/>
        <v>1.5535911602209946</v>
      </c>
      <c r="BB29" s="23">
        <f t="shared" si="27"/>
        <v>1.5535911602209946</v>
      </c>
      <c r="BC29" s="23">
        <f t="shared" si="28"/>
        <v>0</v>
      </c>
      <c r="BD29" s="23">
        <f t="shared" si="29"/>
        <v>1.5535911602209946</v>
      </c>
    </row>
    <row r="30" spans="1:56">
      <c r="A30" s="1" t="s">
        <v>20</v>
      </c>
      <c r="B30" s="1" t="s">
        <v>46</v>
      </c>
      <c r="C30" s="1" t="s">
        <v>22</v>
      </c>
      <c r="D30" s="1" t="s">
        <v>48</v>
      </c>
      <c r="E30" s="51" t="s">
        <v>107</v>
      </c>
      <c r="F30" s="51" t="s">
        <v>232</v>
      </c>
      <c r="G30" s="51" t="s">
        <v>109</v>
      </c>
      <c r="H30" s="1" t="s">
        <v>233</v>
      </c>
      <c r="I30" s="1" t="s">
        <v>234</v>
      </c>
      <c r="J30" s="51" t="s">
        <v>112</v>
      </c>
      <c r="K30" s="51" t="s">
        <v>112</v>
      </c>
      <c r="L30" s="51" t="s">
        <v>112</v>
      </c>
      <c r="M30" s="1">
        <v>2136370</v>
      </c>
      <c r="N30" s="51" t="s">
        <v>885</v>
      </c>
      <c r="O30" s="55">
        <f>DATE(2017,1,30)</f>
        <v>42765</v>
      </c>
      <c r="P30" s="55">
        <f>DATE(2017,4,13)</f>
        <v>42838</v>
      </c>
      <c r="Q30" s="51">
        <v>160</v>
      </c>
      <c r="S30" s="51">
        <v>1</v>
      </c>
      <c r="U30" s="1">
        <f t="shared" si="0"/>
        <v>74</v>
      </c>
      <c r="V30" s="31">
        <f t="shared" si="1"/>
        <v>2.1621621621621623</v>
      </c>
      <c r="W30" s="31">
        <f t="shared" si="2"/>
        <v>160</v>
      </c>
      <c r="X30" s="31">
        <f t="shared" si="3"/>
        <v>0.2</v>
      </c>
      <c r="AA30" s="32">
        <f t="shared" si="4"/>
        <v>42552</v>
      </c>
      <c r="AB30" s="32">
        <f t="shared" si="5"/>
        <v>42735</v>
      </c>
      <c r="AC30" s="5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51">
        <v>40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74</v>
      </c>
      <c r="AX30" s="1">
        <f t="shared" si="23"/>
        <v>0</v>
      </c>
      <c r="AY30" s="23">
        <f t="shared" si="24"/>
        <v>0.40883977900552487</v>
      </c>
      <c r="AZ30" s="23">
        <f t="shared" si="25"/>
        <v>8.1767955801104977E-2</v>
      </c>
      <c r="BA30" s="23">
        <f t="shared" si="26"/>
        <v>3.270718232044199</v>
      </c>
      <c r="BB30" s="23">
        <f t="shared" si="27"/>
        <v>3.270718232044199</v>
      </c>
      <c r="BC30" s="23">
        <f t="shared" si="28"/>
        <v>0</v>
      </c>
      <c r="BD30" s="23">
        <f t="shared" si="29"/>
        <v>3.270718232044199</v>
      </c>
    </row>
    <row r="31" spans="1:56">
      <c r="A31" s="1" t="s">
        <v>20</v>
      </c>
      <c r="B31" s="1" t="s">
        <v>46</v>
      </c>
      <c r="C31" s="1" t="s">
        <v>22</v>
      </c>
      <c r="D31" s="1" t="s">
        <v>48</v>
      </c>
      <c r="E31" s="51" t="s">
        <v>107</v>
      </c>
      <c r="F31" s="51" t="s">
        <v>232</v>
      </c>
      <c r="G31" s="51" t="s">
        <v>109</v>
      </c>
      <c r="H31" s="1" t="s">
        <v>236</v>
      </c>
      <c r="I31" s="1" t="s">
        <v>125</v>
      </c>
      <c r="J31" s="51" t="s">
        <v>112</v>
      </c>
      <c r="K31" s="51" t="s">
        <v>112</v>
      </c>
      <c r="L31" s="51" t="s">
        <v>112</v>
      </c>
      <c r="M31" s="1">
        <v>2136371</v>
      </c>
      <c r="N31" s="51" t="s">
        <v>886</v>
      </c>
      <c r="O31" s="55">
        <f>DATE(2017,1,30)</f>
        <v>42765</v>
      </c>
      <c r="P31" s="55">
        <f>DATE(2017,4,13)</f>
        <v>42838</v>
      </c>
      <c r="Q31" s="51">
        <v>160</v>
      </c>
      <c r="S31" s="51">
        <v>1</v>
      </c>
      <c r="U31" s="1">
        <f t="shared" si="0"/>
        <v>74</v>
      </c>
      <c r="V31" s="31">
        <f t="shared" si="1"/>
        <v>2.1621621621621623</v>
      </c>
      <c r="W31" s="31">
        <f t="shared" si="2"/>
        <v>160</v>
      </c>
      <c r="X31" s="31">
        <f t="shared" si="3"/>
        <v>0.2</v>
      </c>
      <c r="AA31" s="32">
        <f t="shared" si="4"/>
        <v>42552</v>
      </c>
      <c r="AB31" s="32">
        <f t="shared" si="5"/>
        <v>42735</v>
      </c>
      <c r="AC31" s="51">
        <v>0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0</v>
      </c>
      <c r="AJ31" s="23">
        <f t="shared" si="12"/>
        <v>0</v>
      </c>
      <c r="AK31" s="23">
        <f t="shared" si="13"/>
        <v>0</v>
      </c>
      <c r="AL31" s="23">
        <f t="shared" si="14"/>
        <v>0</v>
      </c>
      <c r="AM31" s="23">
        <f t="shared" si="15"/>
        <v>0</v>
      </c>
      <c r="AN31" s="23">
        <f t="shared" si="16"/>
        <v>0</v>
      </c>
      <c r="AQ31" s="32">
        <f t="shared" si="17"/>
        <v>42736</v>
      </c>
      <c r="AR31" s="32">
        <f t="shared" si="18"/>
        <v>42916</v>
      </c>
      <c r="AS31" s="51">
        <v>39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74</v>
      </c>
      <c r="AX31" s="1">
        <f t="shared" si="23"/>
        <v>0</v>
      </c>
      <c r="AY31" s="23">
        <f t="shared" si="24"/>
        <v>0.40883977900552487</v>
      </c>
      <c r="AZ31" s="23">
        <f t="shared" si="25"/>
        <v>8.1767955801104977E-2</v>
      </c>
      <c r="BA31" s="23">
        <f t="shared" si="26"/>
        <v>3.1889502762430939</v>
      </c>
      <c r="BB31" s="23">
        <f t="shared" si="27"/>
        <v>3.1889502762430939</v>
      </c>
      <c r="BC31" s="23">
        <f t="shared" si="28"/>
        <v>0</v>
      </c>
      <c r="BD31" s="23">
        <f t="shared" si="29"/>
        <v>3.1889502762430939</v>
      </c>
    </row>
    <row r="32" spans="1:56">
      <c r="A32" s="1" t="s">
        <v>20</v>
      </c>
      <c r="B32" s="1" t="s">
        <v>46</v>
      </c>
      <c r="C32" s="1" t="s">
        <v>22</v>
      </c>
      <c r="D32" s="1" t="s">
        <v>48</v>
      </c>
      <c r="E32" s="51" t="s">
        <v>107</v>
      </c>
      <c r="F32" s="51" t="s">
        <v>232</v>
      </c>
      <c r="G32" s="51" t="s">
        <v>109</v>
      </c>
      <c r="H32" s="1" t="s">
        <v>878</v>
      </c>
      <c r="J32" s="51" t="s">
        <v>112</v>
      </c>
      <c r="K32" s="51" t="s">
        <v>112</v>
      </c>
      <c r="L32" s="51" t="s">
        <v>112</v>
      </c>
      <c r="M32" s="1">
        <v>2136372</v>
      </c>
      <c r="N32" s="51" t="s">
        <v>887</v>
      </c>
      <c r="O32" s="55">
        <f>DATE(2017,1,30)</f>
        <v>42765</v>
      </c>
      <c r="P32" s="55">
        <f>DATE(2017,5,2)</f>
        <v>42857</v>
      </c>
      <c r="Q32" s="51">
        <v>200</v>
      </c>
      <c r="S32" s="51">
        <v>1</v>
      </c>
      <c r="U32" s="1">
        <f t="shared" si="0"/>
        <v>93</v>
      </c>
      <c r="V32" s="31">
        <f t="shared" si="1"/>
        <v>2.150537634408602</v>
      </c>
      <c r="W32" s="31">
        <f t="shared" si="2"/>
        <v>200</v>
      </c>
      <c r="X32" s="31">
        <f t="shared" si="3"/>
        <v>0.25</v>
      </c>
      <c r="AA32" s="32">
        <f t="shared" si="4"/>
        <v>42552</v>
      </c>
      <c r="AB32" s="32">
        <f t="shared" si="5"/>
        <v>42735</v>
      </c>
      <c r="AC32" s="51">
        <v>0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0</v>
      </c>
      <c r="AJ32" s="23">
        <f t="shared" si="12"/>
        <v>0</v>
      </c>
      <c r="AK32" s="23">
        <f t="shared" si="13"/>
        <v>0</v>
      </c>
      <c r="AL32" s="23">
        <f t="shared" si="14"/>
        <v>0</v>
      </c>
      <c r="AM32" s="23">
        <f t="shared" si="15"/>
        <v>0</v>
      </c>
      <c r="AN32" s="23">
        <f t="shared" si="16"/>
        <v>0</v>
      </c>
      <c r="AQ32" s="32">
        <f t="shared" si="17"/>
        <v>42736</v>
      </c>
      <c r="AR32" s="32">
        <f t="shared" si="18"/>
        <v>42916</v>
      </c>
      <c r="AS32" s="51">
        <v>41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93</v>
      </c>
      <c r="AX32" s="1">
        <f t="shared" si="23"/>
        <v>0</v>
      </c>
      <c r="AY32" s="23">
        <f t="shared" si="24"/>
        <v>0.51381215469613262</v>
      </c>
      <c r="AZ32" s="23">
        <f t="shared" si="25"/>
        <v>0.12845303867403315</v>
      </c>
      <c r="BA32" s="23">
        <f t="shared" si="26"/>
        <v>5.2665745856353592</v>
      </c>
      <c r="BB32" s="23">
        <f t="shared" si="27"/>
        <v>5.2665745856353592</v>
      </c>
      <c r="BC32" s="23">
        <f t="shared" si="28"/>
        <v>0</v>
      </c>
      <c r="BD32" s="23">
        <f t="shared" si="29"/>
        <v>5.2665745856353592</v>
      </c>
    </row>
    <row r="33" spans="1:56">
      <c r="A33" s="1" t="s">
        <v>20</v>
      </c>
      <c r="B33" s="1" t="s">
        <v>46</v>
      </c>
      <c r="C33" s="1" t="s">
        <v>22</v>
      </c>
      <c r="D33" s="1" t="s">
        <v>48</v>
      </c>
      <c r="E33" s="51" t="s">
        <v>107</v>
      </c>
      <c r="F33" s="51" t="s">
        <v>232</v>
      </c>
      <c r="G33" s="51" t="s">
        <v>109</v>
      </c>
      <c r="H33" s="1" t="s">
        <v>247</v>
      </c>
      <c r="J33" s="51" t="s">
        <v>112</v>
      </c>
      <c r="K33" s="51" t="s">
        <v>112</v>
      </c>
      <c r="L33" s="51" t="s">
        <v>112</v>
      </c>
      <c r="M33" s="1">
        <v>2136375</v>
      </c>
      <c r="N33" s="51" t="s">
        <v>888</v>
      </c>
      <c r="O33" s="55">
        <f>DATE(2017,1,30)</f>
        <v>42765</v>
      </c>
      <c r="P33" s="55">
        <f>DATE(2017,4,11)</f>
        <v>42836</v>
      </c>
      <c r="Q33" s="51">
        <v>160</v>
      </c>
      <c r="S33" s="51">
        <v>1</v>
      </c>
      <c r="U33" s="1">
        <f t="shared" si="0"/>
        <v>72</v>
      </c>
      <c r="V33" s="31">
        <f t="shared" si="1"/>
        <v>2.2222222222222223</v>
      </c>
      <c r="W33" s="31">
        <f t="shared" si="2"/>
        <v>160</v>
      </c>
      <c r="X33" s="31">
        <f t="shared" si="3"/>
        <v>0.2</v>
      </c>
      <c r="AA33" s="32">
        <f t="shared" si="4"/>
        <v>42552</v>
      </c>
      <c r="AB33" s="32">
        <f t="shared" si="5"/>
        <v>42735</v>
      </c>
      <c r="AC33" s="51">
        <v>0</v>
      </c>
      <c r="AD33" s="1">
        <f t="shared" si="6"/>
        <v>0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0</v>
      </c>
      <c r="AJ33" s="23">
        <f t="shared" si="12"/>
        <v>0</v>
      </c>
      <c r="AK33" s="23">
        <f t="shared" si="13"/>
        <v>0</v>
      </c>
      <c r="AL33" s="23">
        <f t="shared" si="14"/>
        <v>0</v>
      </c>
      <c r="AM33" s="23">
        <f t="shared" si="15"/>
        <v>0</v>
      </c>
      <c r="AN33" s="23">
        <f t="shared" si="16"/>
        <v>0</v>
      </c>
      <c r="AQ33" s="32">
        <f t="shared" si="17"/>
        <v>42736</v>
      </c>
      <c r="AR33" s="32">
        <f t="shared" si="18"/>
        <v>42916</v>
      </c>
      <c r="AS33" s="51">
        <v>40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72</v>
      </c>
      <c r="AX33" s="1">
        <f t="shared" si="23"/>
        <v>0</v>
      </c>
      <c r="AY33" s="23">
        <f t="shared" si="24"/>
        <v>0.39779005524861877</v>
      </c>
      <c r="AZ33" s="23">
        <f t="shared" si="25"/>
        <v>7.9558011049723765E-2</v>
      </c>
      <c r="BA33" s="23">
        <f t="shared" si="26"/>
        <v>3.1823204419889506</v>
      </c>
      <c r="BB33" s="23">
        <f t="shared" si="27"/>
        <v>3.1823204419889506</v>
      </c>
      <c r="BC33" s="23">
        <f t="shared" si="28"/>
        <v>0</v>
      </c>
      <c r="BD33" s="23">
        <f t="shared" si="29"/>
        <v>3.1823204419889506</v>
      </c>
    </row>
    <row r="34" spans="1:56">
      <c r="A34" s="1" t="s">
        <v>20</v>
      </c>
      <c r="B34" s="1" t="s">
        <v>46</v>
      </c>
      <c r="C34" s="1" t="s">
        <v>22</v>
      </c>
      <c r="D34" s="1" t="s">
        <v>48</v>
      </c>
      <c r="E34" s="51" t="s">
        <v>107</v>
      </c>
      <c r="F34" s="51" t="s">
        <v>439</v>
      </c>
      <c r="G34" s="51" t="s">
        <v>109</v>
      </c>
      <c r="H34" s="1" t="s">
        <v>668</v>
      </c>
      <c r="J34" s="51" t="s">
        <v>112</v>
      </c>
      <c r="K34" s="51" t="s">
        <v>112</v>
      </c>
      <c r="L34" s="51" t="s">
        <v>112</v>
      </c>
      <c r="M34" s="1">
        <v>2146686</v>
      </c>
      <c r="N34" s="51" t="s">
        <v>815</v>
      </c>
      <c r="O34" s="55">
        <f>DATE(2017,2,4)</f>
        <v>42770</v>
      </c>
      <c r="P34" s="55">
        <f>DATE(2017,8,15)</f>
        <v>42962</v>
      </c>
      <c r="Q34" s="51">
        <v>390</v>
      </c>
      <c r="S34" s="51">
        <v>1</v>
      </c>
      <c r="U34" s="1">
        <f t="shared" si="0"/>
        <v>193</v>
      </c>
      <c r="V34" s="31">
        <f t="shared" si="1"/>
        <v>2.0207253886010363</v>
      </c>
      <c r="W34" s="31">
        <f t="shared" si="2"/>
        <v>390</v>
      </c>
      <c r="X34" s="31">
        <f t="shared" si="3"/>
        <v>0.48749999999999999</v>
      </c>
      <c r="AA34" s="32">
        <f t="shared" si="4"/>
        <v>42552</v>
      </c>
      <c r="AB34" s="32">
        <f t="shared" si="5"/>
        <v>42735</v>
      </c>
      <c r="AC34" s="51">
        <v>0</v>
      </c>
      <c r="AD34" s="1">
        <f t="shared" si="6"/>
        <v>0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0</v>
      </c>
      <c r="AJ34" s="23">
        <f t="shared" si="12"/>
        <v>0</v>
      </c>
      <c r="AK34" s="23">
        <f t="shared" si="13"/>
        <v>0</v>
      </c>
      <c r="AL34" s="23">
        <f t="shared" si="14"/>
        <v>0</v>
      </c>
      <c r="AM34" s="23">
        <f t="shared" si="15"/>
        <v>0</v>
      </c>
      <c r="AN34" s="23">
        <f t="shared" si="16"/>
        <v>0</v>
      </c>
      <c r="AQ34" s="32">
        <f t="shared" si="17"/>
        <v>42736</v>
      </c>
      <c r="AR34" s="32">
        <f t="shared" si="18"/>
        <v>42916</v>
      </c>
      <c r="AS34" s="51">
        <v>40</v>
      </c>
      <c r="AT34" s="1">
        <f t="shared" si="19"/>
        <v>0</v>
      </c>
      <c r="AU34" s="1">
        <f t="shared" si="20"/>
        <v>147</v>
      </c>
      <c r="AV34" s="1">
        <f t="shared" si="21"/>
        <v>0</v>
      </c>
      <c r="AW34" s="1">
        <f t="shared" si="22"/>
        <v>0</v>
      </c>
      <c r="AX34" s="1">
        <f t="shared" si="23"/>
        <v>0</v>
      </c>
      <c r="AY34" s="23">
        <f t="shared" si="24"/>
        <v>0.81215469613259672</v>
      </c>
      <c r="AZ34" s="23">
        <f t="shared" si="25"/>
        <v>0.3959254143646409</v>
      </c>
      <c r="BA34" s="23">
        <f t="shared" si="26"/>
        <v>15.837016574585636</v>
      </c>
      <c r="BB34" s="23">
        <f t="shared" si="27"/>
        <v>15.837016574585636</v>
      </c>
      <c r="BC34" s="23">
        <f t="shared" si="28"/>
        <v>0</v>
      </c>
      <c r="BD34" s="23">
        <f t="shared" si="29"/>
        <v>15.837016574585636</v>
      </c>
    </row>
    <row r="35" spans="1:56">
      <c r="A35" s="1" t="s">
        <v>20</v>
      </c>
      <c r="B35" s="1" t="s">
        <v>46</v>
      </c>
      <c r="C35" s="1" t="s">
        <v>22</v>
      </c>
      <c r="D35" s="1" t="s">
        <v>48</v>
      </c>
      <c r="E35" s="51" t="s">
        <v>107</v>
      </c>
      <c r="F35" s="51" t="s">
        <v>108</v>
      </c>
      <c r="G35" s="51" t="s">
        <v>109</v>
      </c>
      <c r="H35" s="1" t="s">
        <v>110</v>
      </c>
      <c r="I35" s="1" t="s">
        <v>111</v>
      </c>
      <c r="J35" s="51" t="s">
        <v>112</v>
      </c>
      <c r="K35" s="51" t="s">
        <v>112</v>
      </c>
      <c r="L35" s="51" t="s">
        <v>112</v>
      </c>
      <c r="M35" s="1">
        <v>2163783</v>
      </c>
      <c r="N35" s="52" t="s">
        <v>889</v>
      </c>
      <c r="O35" s="55">
        <f t="shared" ref="O35:O43" si="32">DATE(2017,4,17)</f>
        <v>42842</v>
      </c>
      <c r="P35" s="55">
        <f>DATE(2020,4,17)</f>
        <v>43938</v>
      </c>
      <c r="Q35" s="51">
        <v>4120</v>
      </c>
      <c r="S35" s="51">
        <v>2</v>
      </c>
      <c r="U35" s="1">
        <f t="shared" si="0"/>
        <v>1097</v>
      </c>
      <c r="V35" s="31">
        <f t="shared" si="1"/>
        <v>3.7556973564266181</v>
      </c>
      <c r="W35" s="31">
        <f t="shared" si="2"/>
        <v>1370.8295350957155</v>
      </c>
      <c r="X35" s="31">
        <f t="shared" si="3"/>
        <v>1.7135369188696443</v>
      </c>
      <c r="AA35" s="32">
        <f t="shared" si="4"/>
        <v>42552</v>
      </c>
      <c r="AB35" s="32">
        <f t="shared" si="5"/>
        <v>42735</v>
      </c>
      <c r="AC35" s="1">
        <v>0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0</v>
      </c>
      <c r="AJ35" s="23">
        <f t="shared" si="12"/>
        <v>0</v>
      </c>
      <c r="AK35" s="23">
        <f t="shared" si="13"/>
        <v>0</v>
      </c>
      <c r="AL35" s="23">
        <f t="shared" si="14"/>
        <v>0</v>
      </c>
      <c r="AM35" s="23">
        <f t="shared" si="15"/>
        <v>0</v>
      </c>
      <c r="AN35" s="23">
        <f t="shared" si="16"/>
        <v>0</v>
      </c>
      <c r="AQ35" s="32">
        <f t="shared" si="17"/>
        <v>42736</v>
      </c>
      <c r="AR35" s="32">
        <f t="shared" si="18"/>
        <v>42916</v>
      </c>
      <c r="AS35" s="52">
        <v>58</v>
      </c>
      <c r="AT35" s="1">
        <f t="shared" si="19"/>
        <v>0</v>
      </c>
      <c r="AU35" s="1">
        <f t="shared" si="20"/>
        <v>75</v>
      </c>
      <c r="AV35" s="1">
        <f t="shared" si="21"/>
        <v>0</v>
      </c>
      <c r="AW35" s="1">
        <f t="shared" si="22"/>
        <v>0</v>
      </c>
      <c r="AX35" s="1">
        <f t="shared" si="23"/>
        <v>0</v>
      </c>
      <c r="AY35" s="23">
        <f t="shared" si="24"/>
        <v>0.4143646408839779</v>
      </c>
      <c r="AZ35" s="23">
        <f t="shared" si="25"/>
        <v>0.71002911002885816</v>
      </c>
      <c r="BA35" s="23">
        <f t="shared" si="26"/>
        <v>41.181688381673773</v>
      </c>
      <c r="BB35" s="23">
        <f t="shared" si="27"/>
        <v>82.363376763347546</v>
      </c>
      <c r="BC35" s="23">
        <f t="shared" si="28"/>
        <v>0</v>
      </c>
      <c r="BD35" s="23">
        <f t="shared" si="29"/>
        <v>82.363376763347546</v>
      </c>
    </row>
    <row r="36" spans="1:56">
      <c r="A36" s="1" t="s">
        <v>20</v>
      </c>
      <c r="B36" s="1" t="s">
        <v>46</v>
      </c>
      <c r="C36" s="1" t="s">
        <v>22</v>
      </c>
      <c r="D36" s="1" t="s">
        <v>48</v>
      </c>
      <c r="E36" s="51" t="s">
        <v>107</v>
      </c>
      <c r="F36" s="51" t="s">
        <v>108</v>
      </c>
      <c r="G36" s="51" t="s">
        <v>109</v>
      </c>
      <c r="H36" s="1" t="s">
        <v>881</v>
      </c>
      <c r="I36" s="1" t="s">
        <v>131</v>
      </c>
      <c r="J36" s="51" t="s">
        <v>112</v>
      </c>
      <c r="K36" s="51" t="s">
        <v>112</v>
      </c>
      <c r="L36" s="51" t="s">
        <v>112</v>
      </c>
      <c r="M36" s="1">
        <v>2163830</v>
      </c>
      <c r="N36" s="52" t="s">
        <v>890</v>
      </c>
      <c r="O36" s="55">
        <f t="shared" si="32"/>
        <v>42842</v>
      </c>
      <c r="P36" s="55">
        <f>DATE(2020,4,17)</f>
        <v>43938</v>
      </c>
      <c r="Q36" s="51">
        <v>4020</v>
      </c>
      <c r="S36" s="51">
        <v>2</v>
      </c>
      <c r="U36" s="1">
        <f t="shared" si="0"/>
        <v>1097</v>
      </c>
      <c r="V36" s="31">
        <f t="shared" si="1"/>
        <v>3.6645396536007291</v>
      </c>
      <c r="W36" s="31">
        <f t="shared" si="2"/>
        <v>1337.5569735642662</v>
      </c>
      <c r="X36" s="31">
        <f t="shared" si="3"/>
        <v>1.6719462169553327</v>
      </c>
      <c r="AA36" s="32">
        <f t="shared" si="4"/>
        <v>42552</v>
      </c>
      <c r="AB36" s="32">
        <f t="shared" si="5"/>
        <v>42735</v>
      </c>
      <c r="AC36" s="1">
        <v>0</v>
      </c>
      <c r="AD36" s="1">
        <f t="shared" si="6"/>
        <v>0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0</v>
      </c>
      <c r="AI36" s="23">
        <f t="shared" si="11"/>
        <v>0</v>
      </c>
      <c r="AJ36" s="23">
        <f t="shared" si="12"/>
        <v>0</v>
      </c>
      <c r="AK36" s="23">
        <f t="shared" si="13"/>
        <v>0</v>
      </c>
      <c r="AL36" s="23">
        <f t="shared" si="14"/>
        <v>0</v>
      </c>
      <c r="AM36" s="23">
        <f t="shared" si="15"/>
        <v>0</v>
      </c>
      <c r="AN36" s="23">
        <f t="shared" si="16"/>
        <v>0</v>
      </c>
      <c r="AQ36" s="32">
        <f t="shared" si="17"/>
        <v>42736</v>
      </c>
      <c r="AR36" s="32">
        <f t="shared" si="18"/>
        <v>42916</v>
      </c>
      <c r="AS36" s="52">
        <v>63</v>
      </c>
      <c r="AT36" s="1">
        <f t="shared" si="19"/>
        <v>0</v>
      </c>
      <c r="AU36" s="1">
        <f t="shared" si="20"/>
        <v>75</v>
      </c>
      <c r="AV36" s="1">
        <f t="shared" si="21"/>
        <v>0</v>
      </c>
      <c r="AW36" s="1">
        <f t="shared" si="22"/>
        <v>0</v>
      </c>
      <c r="AX36" s="1">
        <f t="shared" si="23"/>
        <v>0</v>
      </c>
      <c r="AY36" s="23">
        <f t="shared" si="24"/>
        <v>0.4143646408839779</v>
      </c>
      <c r="AZ36" s="23">
        <f t="shared" si="25"/>
        <v>0.69279539376602184</v>
      </c>
      <c r="BA36" s="23">
        <f t="shared" si="26"/>
        <v>43.646109807259378</v>
      </c>
      <c r="BB36" s="23">
        <f t="shared" si="27"/>
        <v>87.292219614518757</v>
      </c>
      <c r="BC36" s="23">
        <f t="shared" si="28"/>
        <v>0</v>
      </c>
      <c r="BD36" s="23">
        <f t="shared" si="29"/>
        <v>87.292219614518757</v>
      </c>
    </row>
    <row r="37" spans="1:56">
      <c r="A37" s="1" t="s">
        <v>20</v>
      </c>
      <c r="B37" s="1" t="s">
        <v>46</v>
      </c>
      <c r="C37" s="1" t="s">
        <v>22</v>
      </c>
      <c r="D37" s="1" t="s">
        <v>48</v>
      </c>
      <c r="E37" s="51" t="s">
        <v>107</v>
      </c>
      <c r="F37" s="51" t="s">
        <v>108</v>
      </c>
      <c r="G37" s="51" t="s">
        <v>109</v>
      </c>
      <c r="H37" s="1" t="s">
        <v>127</v>
      </c>
      <c r="I37" s="1" t="s">
        <v>128</v>
      </c>
      <c r="J37" s="51" t="s">
        <v>112</v>
      </c>
      <c r="K37" s="51" t="s">
        <v>112</v>
      </c>
      <c r="L37" s="51" t="s">
        <v>112</v>
      </c>
      <c r="M37" s="1">
        <v>2164651</v>
      </c>
      <c r="N37" s="52" t="s">
        <v>891</v>
      </c>
      <c r="O37" s="55">
        <f t="shared" si="32"/>
        <v>42842</v>
      </c>
      <c r="P37" s="55">
        <f t="shared" ref="P37:P42" si="33">DATE(2019,4,17)</f>
        <v>43572</v>
      </c>
      <c r="Q37" s="51">
        <v>1545</v>
      </c>
      <c r="S37" s="51">
        <v>2.5</v>
      </c>
      <c r="U37" s="1">
        <f t="shared" si="0"/>
        <v>731</v>
      </c>
      <c r="V37" s="31">
        <f t="shared" si="1"/>
        <v>2.1135430916552669</v>
      </c>
      <c r="W37" s="31">
        <f t="shared" si="2"/>
        <v>771.44322845417241</v>
      </c>
      <c r="X37" s="31">
        <f t="shared" si="3"/>
        <v>0.96430403556771549</v>
      </c>
      <c r="AA37" s="32">
        <f t="shared" si="4"/>
        <v>42552</v>
      </c>
      <c r="AB37" s="32">
        <f t="shared" si="5"/>
        <v>42735</v>
      </c>
      <c r="AC37" s="1">
        <v>0</v>
      </c>
      <c r="AD37" s="1">
        <f t="shared" si="6"/>
        <v>0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0</v>
      </c>
      <c r="AI37" s="23">
        <f t="shared" si="11"/>
        <v>0</v>
      </c>
      <c r="AJ37" s="23">
        <f t="shared" si="12"/>
        <v>0</v>
      </c>
      <c r="AK37" s="23">
        <f t="shared" si="13"/>
        <v>0</v>
      </c>
      <c r="AL37" s="23">
        <f t="shared" si="14"/>
        <v>0</v>
      </c>
      <c r="AM37" s="23">
        <f t="shared" si="15"/>
        <v>0</v>
      </c>
      <c r="AN37" s="23">
        <f t="shared" si="16"/>
        <v>0</v>
      </c>
      <c r="AQ37" s="32">
        <f t="shared" si="17"/>
        <v>42736</v>
      </c>
      <c r="AR37" s="32">
        <f t="shared" si="18"/>
        <v>42916</v>
      </c>
      <c r="AS37" s="52">
        <v>27</v>
      </c>
      <c r="AT37" s="1">
        <f t="shared" si="19"/>
        <v>0</v>
      </c>
      <c r="AU37" s="1">
        <f t="shared" si="20"/>
        <v>75</v>
      </c>
      <c r="AV37" s="1">
        <f t="shared" si="21"/>
        <v>0</v>
      </c>
      <c r="AW37" s="1">
        <f t="shared" si="22"/>
        <v>0</v>
      </c>
      <c r="AX37" s="1">
        <f t="shared" si="23"/>
        <v>0</v>
      </c>
      <c r="AY37" s="23">
        <f t="shared" si="24"/>
        <v>0.4143646408839779</v>
      </c>
      <c r="AZ37" s="23">
        <f t="shared" si="25"/>
        <v>0.39957349540098708</v>
      </c>
      <c r="BA37" s="23">
        <f t="shared" si="26"/>
        <v>10.788484375826652</v>
      </c>
      <c r="BB37" s="23">
        <f t="shared" si="27"/>
        <v>26.971210939566632</v>
      </c>
      <c r="BC37" s="23">
        <f t="shared" si="28"/>
        <v>0</v>
      </c>
      <c r="BD37" s="23">
        <f t="shared" si="29"/>
        <v>26.971210939566632</v>
      </c>
    </row>
    <row r="38" spans="1:56">
      <c r="A38" s="1" t="s">
        <v>20</v>
      </c>
      <c r="B38" s="1" t="s">
        <v>46</v>
      </c>
      <c r="C38" s="1" t="s">
        <v>22</v>
      </c>
      <c r="D38" s="1" t="s">
        <v>48</v>
      </c>
      <c r="E38" s="51" t="s">
        <v>107</v>
      </c>
      <c r="F38" s="51" t="s">
        <v>108</v>
      </c>
      <c r="G38" s="51" t="s">
        <v>109</v>
      </c>
      <c r="H38" s="1" t="s">
        <v>283</v>
      </c>
      <c r="I38" s="1" t="s">
        <v>128</v>
      </c>
      <c r="J38" s="51" t="s">
        <v>112</v>
      </c>
      <c r="K38" s="51" t="s">
        <v>112</v>
      </c>
      <c r="L38" s="51" t="s">
        <v>112</v>
      </c>
      <c r="M38" s="1">
        <v>2165256</v>
      </c>
      <c r="N38" s="52" t="s">
        <v>892</v>
      </c>
      <c r="O38" s="55">
        <f t="shared" si="32"/>
        <v>42842</v>
      </c>
      <c r="P38" s="55">
        <f t="shared" si="33"/>
        <v>43572</v>
      </c>
      <c r="Q38" s="51">
        <v>1598</v>
      </c>
      <c r="S38" s="51">
        <v>2.5</v>
      </c>
      <c r="U38" s="1">
        <f t="shared" si="0"/>
        <v>731</v>
      </c>
      <c r="V38" s="31">
        <f t="shared" si="1"/>
        <v>2.1860465116279069</v>
      </c>
      <c r="W38" s="31">
        <f t="shared" si="2"/>
        <v>797.90697674418595</v>
      </c>
      <c r="X38" s="31">
        <f t="shared" si="3"/>
        <v>0.99738372093023242</v>
      </c>
      <c r="AA38" s="32">
        <f t="shared" si="4"/>
        <v>42552</v>
      </c>
      <c r="AB38" s="32">
        <f t="shared" si="5"/>
        <v>42735</v>
      </c>
      <c r="AC38" s="1">
        <v>0</v>
      </c>
      <c r="AD38" s="1">
        <f t="shared" si="6"/>
        <v>0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0</v>
      </c>
      <c r="AI38" s="23">
        <f t="shared" si="11"/>
        <v>0</v>
      </c>
      <c r="AJ38" s="23">
        <f t="shared" si="12"/>
        <v>0</v>
      </c>
      <c r="AK38" s="23">
        <f t="shared" si="13"/>
        <v>0</v>
      </c>
      <c r="AL38" s="23">
        <f t="shared" si="14"/>
        <v>0</v>
      </c>
      <c r="AM38" s="23">
        <f t="shared" si="15"/>
        <v>0</v>
      </c>
      <c r="AN38" s="23">
        <f t="shared" si="16"/>
        <v>0</v>
      </c>
      <c r="AQ38" s="32">
        <f t="shared" si="17"/>
        <v>42736</v>
      </c>
      <c r="AR38" s="32">
        <f t="shared" si="18"/>
        <v>42916</v>
      </c>
      <c r="AS38" s="52">
        <v>30</v>
      </c>
      <c r="AT38" s="1">
        <f t="shared" si="19"/>
        <v>0</v>
      </c>
      <c r="AU38" s="1">
        <f t="shared" si="20"/>
        <v>75</v>
      </c>
      <c r="AV38" s="1">
        <f t="shared" si="21"/>
        <v>0</v>
      </c>
      <c r="AW38" s="1">
        <f t="shared" si="22"/>
        <v>0</v>
      </c>
      <c r="AX38" s="1">
        <f t="shared" si="23"/>
        <v>0</v>
      </c>
      <c r="AY38" s="23">
        <f t="shared" si="24"/>
        <v>0.4143646408839779</v>
      </c>
      <c r="AZ38" s="23">
        <f t="shared" si="25"/>
        <v>0.41328054734678138</v>
      </c>
      <c r="BA38" s="23">
        <f t="shared" si="26"/>
        <v>12.398416420403441</v>
      </c>
      <c r="BB38" s="23">
        <f t="shared" si="27"/>
        <v>30.996041051008604</v>
      </c>
      <c r="BC38" s="23">
        <f t="shared" si="28"/>
        <v>0</v>
      </c>
      <c r="BD38" s="23">
        <f t="shared" si="29"/>
        <v>30.996041051008604</v>
      </c>
    </row>
    <row r="39" spans="1:56">
      <c r="A39" s="1" t="s">
        <v>20</v>
      </c>
      <c r="B39" s="1" t="s">
        <v>46</v>
      </c>
      <c r="C39" s="1" t="s">
        <v>22</v>
      </c>
      <c r="D39" s="1" t="s">
        <v>48</v>
      </c>
      <c r="E39" s="51" t="s">
        <v>107</v>
      </c>
      <c r="F39" s="51" t="s">
        <v>108</v>
      </c>
      <c r="G39" s="51" t="s">
        <v>109</v>
      </c>
      <c r="H39" s="1" t="s">
        <v>124</v>
      </c>
      <c r="I39" s="1" t="s">
        <v>125</v>
      </c>
      <c r="J39" s="51" t="s">
        <v>112</v>
      </c>
      <c r="K39" s="51" t="s">
        <v>112</v>
      </c>
      <c r="L39" s="51" t="s">
        <v>112</v>
      </c>
      <c r="M39" s="1">
        <v>2165280</v>
      </c>
      <c r="N39" s="52" t="s">
        <v>893</v>
      </c>
      <c r="O39" s="55">
        <f t="shared" si="32"/>
        <v>42842</v>
      </c>
      <c r="P39" s="55">
        <f t="shared" si="33"/>
        <v>43572</v>
      </c>
      <c r="Q39" s="51">
        <v>1581</v>
      </c>
      <c r="S39" s="51">
        <v>2.5</v>
      </c>
      <c r="U39" s="1">
        <f t="shared" si="0"/>
        <v>731</v>
      </c>
      <c r="V39" s="31">
        <f t="shared" si="1"/>
        <v>2.1627906976744184</v>
      </c>
      <c r="W39" s="31">
        <f t="shared" si="2"/>
        <v>789.4186046511627</v>
      </c>
      <c r="X39" s="31">
        <f t="shared" si="3"/>
        <v>0.98677325581395336</v>
      </c>
      <c r="AA39" s="32">
        <f t="shared" si="4"/>
        <v>42552</v>
      </c>
      <c r="AB39" s="32">
        <f t="shared" si="5"/>
        <v>42735</v>
      </c>
      <c r="AC39" s="1">
        <v>0</v>
      </c>
      <c r="AD39" s="1">
        <f t="shared" si="6"/>
        <v>0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0</v>
      </c>
      <c r="AI39" s="23">
        <f t="shared" si="11"/>
        <v>0</v>
      </c>
      <c r="AJ39" s="23">
        <f t="shared" si="12"/>
        <v>0</v>
      </c>
      <c r="AK39" s="23">
        <f t="shared" si="13"/>
        <v>0</v>
      </c>
      <c r="AL39" s="23">
        <f t="shared" si="14"/>
        <v>0</v>
      </c>
      <c r="AM39" s="23">
        <f t="shared" si="15"/>
        <v>0</v>
      </c>
      <c r="AN39" s="23">
        <f t="shared" si="16"/>
        <v>0</v>
      </c>
      <c r="AQ39" s="32">
        <f t="shared" si="17"/>
        <v>42736</v>
      </c>
      <c r="AR39" s="32">
        <f t="shared" si="18"/>
        <v>42916</v>
      </c>
      <c r="AS39" s="52">
        <v>58</v>
      </c>
      <c r="AT39" s="1">
        <f t="shared" si="19"/>
        <v>0</v>
      </c>
      <c r="AU39" s="1">
        <f t="shared" si="20"/>
        <v>75</v>
      </c>
      <c r="AV39" s="1">
        <f t="shared" si="21"/>
        <v>0</v>
      </c>
      <c r="AW39" s="1">
        <f t="shared" si="22"/>
        <v>0</v>
      </c>
      <c r="AX39" s="1">
        <f t="shared" si="23"/>
        <v>0</v>
      </c>
      <c r="AY39" s="23">
        <f t="shared" si="24"/>
        <v>0.4143646408839779</v>
      </c>
      <c r="AZ39" s="23">
        <f t="shared" si="25"/>
        <v>0.40888394577926246</v>
      </c>
      <c r="BA39" s="23">
        <f t="shared" si="26"/>
        <v>23.715268855197223</v>
      </c>
      <c r="BB39" s="23">
        <f t="shared" si="27"/>
        <v>59.288172137993058</v>
      </c>
      <c r="BC39" s="23">
        <f t="shared" si="28"/>
        <v>0</v>
      </c>
      <c r="BD39" s="23">
        <f t="shared" si="29"/>
        <v>59.288172137993058</v>
      </c>
    </row>
    <row r="40" spans="1:56">
      <c r="A40" s="1" t="s">
        <v>20</v>
      </c>
      <c r="B40" s="1" t="s">
        <v>46</v>
      </c>
      <c r="C40" s="1" t="s">
        <v>22</v>
      </c>
      <c r="D40" s="1" t="s">
        <v>48</v>
      </c>
      <c r="E40" s="51" t="s">
        <v>107</v>
      </c>
      <c r="F40" s="51" t="s">
        <v>108</v>
      </c>
      <c r="G40" s="51" t="s">
        <v>109</v>
      </c>
      <c r="H40" s="1" t="s">
        <v>285</v>
      </c>
      <c r="I40" s="1" t="s">
        <v>125</v>
      </c>
      <c r="J40" s="51" t="s">
        <v>112</v>
      </c>
      <c r="K40" s="51" t="s">
        <v>112</v>
      </c>
      <c r="L40" s="51" t="s">
        <v>112</v>
      </c>
      <c r="M40" s="1">
        <v>2165354</v>
      </c>
      <c r="N40" s="52" t="s">
        <v>894</v>
      </c>
      <c r="O40" s="55">
        <f t="shared" si="32"/>
        <v>42842</v>
      </c>
      <c r="P40" s="55">
        <f t="shared" si="33"/>
        <v>43572</v>
      </c>
      <c r="Q40" s="51">
        <v>1520</v>
      </c>
      <c r="S40" s="51">
        <v>2.5</v>
      </c>
      <c r="U40" s="1">
        <f t="shared" si="0"/>
        <v>731</v>
      </c>
      <c r="V40" s="31">
        <f t="shared" si="1"/>
        <v>2.0793433652530782</v>
      </c>
      <c r="W40" s="31">
        <f t="shared" si="2"/>
        <v>758.96032831737352</v>
      </c>
      <c r="X40" s="31">
        <f t="shared" si="3"/>
        <v>0.94870041039671693</v>
      </c>
      <c r="AA40" s="32">
        <f t="shared" si="4"/>
        <v>42552</v>
      </c>
      <c r="AB40" s="32">
        <f t="shared" si="5"/>
        <v>42735</v>
      </c>
      <c r="AC40" s="1">
        <v>0</v>
      </c>
      <c r="AD40" s="1">
        <f t="shared" si="6"/>
        <v>0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0</v>
      </c>
      <c r="AI40" s="23">
        <f t="shared" si="11"/>
        <v>0</v>
      </c>
      <c r="AJ40" s="23">
        <f t="shared" si="12"/>
        <v>0</v>
      </c>
      <c r="AK40" s="23">
        <f t="shared" si="13"/>
        <v>0</v>
      </c>
      <c r="AL40" s="23">
        <f t="shared" si="14"/>
        <v>0</v>
      </c>
      <c r="AM40" s="23">
        <f t="shared" si="15"/>
        <v>0</v>
      </c>
      <c r="AN40" s="23">
        <f t="shared" si="16"/>
        <v>0</v>
      </c>
      <c r="AQ40" s="32">
        <f t="shared" si="17"/>
        <v>42736</v>
      </c>
      <c r="AR40" s="32">
        <f t="shared" si="18"/>
        <v>42916</v>
      </c>
      <c r="AS40" s="52">
        <v>28</v>
      </c>
      <c r="AT40" s="1">
        <f t="shared" si="19"/>
        <v>0</v>
      </c>
      <c r="AU40" s="1">
        <f t="shared" si="20"/>
        <v>75</v>
      </c>
      <c r="AV40" s="1">
        <f t="shared" si="21"/>
        <v>0</v>
      </c>
      <c r="AW40" s="1">
        <f t="shared" si="22"/>
        <v>0</v>
      </c>
      <c r="AX40" s="1">
        <f t="shared" si="23"/>
        <v>0</v>
      </c>
      <c r="AY40" s="23">
        <f t="shared" si="24"/>
        <v>0.4143646408839779</v>
      </c>
      <c r="AZ40" s="23">
        <f t="shared" si="25"/>
        <v>0.39310790486051805</v>
      </c>
      <c r="BA40" s="23">
        <f t="shared" si="26"/>
        <v>11.007021336094505</v>
      </c>
      <c r="BB40" s="23">
        <f t="shared" si="27"/>
        <v>27.517553340236262</v>
      </c>
      <c r="BC40" s="23">
        <f t="shared" si="28"/>
        <v>0</v>
      </c>
      <c r="BD40" s="23">
        <f t="shared" si="29"/>
        <v>27.517553340236262</v>
      </c>
    </row>
    <row r="41" spans="1:56">
      <c r="A41" s="1" t="s">
        <v>20</v>
      </c>
      <c r="B41" s="1" t="s">
        <v>46</v>
      </c>
      <c r="C41" s="1" t="s">
        <v>22</v>
      </c>
      <c r="D41" s="1" t="s">
        <v>48</v>
      </c>
      <c r="E41" s="51" t="s">
        <v>107</v>
      </c>
      <c r="F41" s="51" t="s">
        <v>108</v>
      </c>
      <c r="G41" s="51" t="s">
        <v>109</v>
      </c>
      <c r="H41" s="1" t="s">
        <v>895</v>
      </c>
      <c r="I41" s="1" t="s">
        <v>128</v>
      </c>
      <c r="J41" s="51" t="s">
        <v>112</v>
      </c>
      <c r="K41" s="51" t="s">
        <v>112</v>
      </c>
      <c r="L41" s="51" t="s">
        <v>112</v>
      </c>
      <c r="M41" s="1">
        <v>2165361</v>
      </c>
      <c r="N41" s="52" t="s">
        <v>896</v>
      </c>
      <c r="O41" s="55">
        <f t="shared" si="32"/>
        <v>42842</v>
      </c>
      <c r="P41" s="55">
        <f t="shared" si="33"/>
        <v>43572</v>
      </c>
      <c r="Q41" s="51">
        <v>1520</v>
      </c>
      <c r="S41" s="51">
        <v>2.5</v>
      </c>
      <c r="U41" s="1">
        <f t="shared" si="0"/>
        <v>731</v>
      </c>
      <c r="V41" s="31">
        <f t="shared" si="1"/>
        <v>2.0793433652530782</v>
      </c>
      <c r="W41" s="31">
        <f t="shared" si="2"/>
        <v>758.96032831737352</v>
      </c>
      <c r="X41" s="31">
        <f t="shared" si="3"/>
        <v>0.94870041039671693</v>
      </c>
      <c r="AA41" s="32">
        <f t="shared" si="4"/>
        <v>42552</v>
      </c>
      <c r="AB41" s="32">
        <f t="shared" si="5"/>
        <v>42735</v>
      </c>
      <c r="AC41" s="1">
        <v>0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0</v>
      </c>
      <c r="AI41" s="23">
        <f t="shared" si="11"/>
        <v>0</v>
      </c>
      <c r="AJ41" s="23">
        <f t="shared" si="12"/>
        <v>0</v>
      </c>
      <c r="AK41" s="23">
        <f t="shared" si="13"/>
        <v>0</v>
      </c>
      <c r="AL41" s="23">
        <f t="shared" si="14"/>
        <v>0</v>
      </c>
      <c r="AM41" s="23">
        <f t="shared" si="15"/>
        <v>0</v>
      </c>
      <c r="AN41" s="23">
        <f t="shared" si="16"/>
        <v>0</v>
      </c>
      <c r="AQ41" s="32">
        <f t="shared" si="17"/>
        <v>42736</v>
      </c>
      <c r="AR41" s="32">
        <f t="shared" si="18"/>
        <v>42916</v>
      </c>
      <c r="AS41" s="52">
        <v>30</v>
      </c>
      <c r="AT41" s="1">
        <f t="shared" si="19"/>
        <v>0</v>
      </c>
      <c r="AU41" s="1">
        <f t="shared" si="20"/>
        <v>75</v>
      </c>
      <c r="AV41" s="1">
        <f t="shared" si="21"/>
        <v>0</v>
      </c>
      <c r="AW41" s="1">
        <f t="shared" si="22"/>
        <v>0</v>
      </c>
      <c r="AX41" s="1">
        <f t="shared" si="23"/>
        <v>0</v>
      </c>
      <c r="AY41" s="23">
        <f t="shared" si="24"/>
        <v>0.4143646408839779</v>
      </c>
      <c r="AZ41" s="23">
        <f t="shared" si="25"/>
        <v>0.39310790486051805</v>
      </c>
      <c r="BA41" s="23">
        <f t="shared" si="26"/>
        <v>11.793237145815542</v>
      </c>
      <c r="BB41" s="23">
        <f t="shared" si="27"/>
        <v>29.483092864538854</v>
      </c>
      <c r="BC41" s="23">
        <f t="shared" si="28"/>
        <v>0</v>
      </c>
      <c r="BD41" s="23">
        <f t="shared" si="29"/>
        <v>29.483092864538854</v>
      </c>
    </row>
    <row r="42" spans="1:56">
      <c r="A42" s="1" t="s">
        <v>20</v>
      </c>
      <c r="B42" s="1" t="s">
        <v>46</v>
      </c>
      <c r="C42" s="1" t="s">
        <v>22</v>
      </c>
      <c r="D42" s="1" t="s">
        <v>48</v>
      </c>
      <c r="E42" s="51" t="s">
        <v>107</v>
      </c>
      <c r="F42" s="51" t="s">
        <v>108</v>
      </c>
      <c r="G42" s="51" t="s">
        <v>109</v>
      </c>
      <c r="H42" s="1" t="s">
        <v>156</v>
      </c>
      <c r="I42" s="1" t="s">
        <v>128</v>
      </c>
      <c r="J42" s="51" t="s">
        <v>112</v>
      </c>
      <c r="K42" s="51" t="s">
        <v>112</v>
      </c>
      <c r="L42" s="51" t="s">
        <v>112</v>
      </c>
      <c r="M42" s="1">
        <v>2166254</v>
      </c>
      <c r="N42" s="52" t="s">
        <v>897</v>
      </c>
      <c r="O42" s="55">
        <f t="shared" si="32"/>
        <v>42842</v>
      </c>
      <c r="P42" s="55">
        <f t="shared" si="33"/>
        <v>43572</v>
      </c>
      <c r="Q42" s="51">
        <v>1545</v>
      </c>
      <c r="S42" s="51">
        <v>2.5</v>
      </c>
      <c r="U42" s="1">
        <f t="shared" si="0"/>
        <v>731</v>
      </c>
      <c r="V42" s="31">
        <f t="shared" si="1"/>
        <v>2.1135430916552669</v>
      </c>
      <c r="W42" s="31">
        <f t="shared" si="2"/>
        <v>771.44322845417241</v>
      </c>
      <c r="X42" s="31">
        <f t="shared" si="3"/>
        <v>0.96430403556771549</v>
      </c>
      <c r="AA42" s="32">
        <f t="shared" si="4"/>
        <v>42552</v>
      </c>
      <c r="AB42" s="32">
        <f t="shared" si="5"/>
        <v>42735</v>
      </c>
      <c r="AC42" s="1">
        <v>0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0</v>
      </c>
      <c r="AI42" s="23">
        <f t="shared" si="11"/>
        <v>0</v>
      </c>
      <c r="AJ42" s="23">
        <f t="shared" si="12"/>
        <v>0</v>
      </c>
      <c r="AK42" s="23">
        <f t="shared" si="13"/>
        <v>0</v>
      </c>
      <c r="AL42" s="23">
        <f t="shared" si="14"/>
        <v>0</v>
      </c>
      <c r="AM42" s="23">
        <f t="shared" si="15"/>
        <v>0</v>
      </c>
      <c r="AN42" s="23">
        <f t="shared" si="16"/>
        <v>0</v>
      </c>
      <c r="AQ42" s="32">
        <f t="shared" si="17"/>
        <v>42736</v>
      </c>
      <c r="AR42" s="32">
        <f t="shared" si="18"/>
        <v>42916</v>
      </c>
      <c r="AS42" s="52">
        <v>30</v>
      </c>
      <c r="AT42" s="1">
        <f t="shared" si="19"/>
        <v>0</v>
      </c>
      <c r="AU42" s="1">
        <f t="shared" si="20"/>
        <v>75</v>
      </c>
      <c r="AV42" s="1">
        <f t="shared" si="21"/>
        <v>0</v>
      </c>
      <c r="AW42" s="1">
        <f t="shared" si="22"/>
        <v>0</v>
      </c>
      <c r="AX42" s="1">
        <f t="shared" si="23"/>
        <v>0</v>
      </c>
      <c r="AY42" s="23">
        <f t="shared" si="24"/>
        <v>0.4143646408839779</v>
      </c>
      <c r="AZ42" s="23">
        <f t="shared" si="25"/>
        <v>0.39957349540098708</v>
      </c>
      <c r="BA42" s="23">
        <f t="shared" si="26"/>
        <v>11.987204862029612</v>
      </c>
      <c r="BB42" s="23">
        <f t="shared" si="27"/>
        <v>29.968012155074032</v>
      </c>
      <c r="BC42" s="23">
        <f t="shared" si="28"/>
        <v>0</v>
      </c>
      <c r="BD42" s="23">
        <f t="shared" si="29"/>
        <v>29.968012155074032</v>
      </c>
    </row>
    <row r="43" spans="1:56">
      <c r="A43" s="1" t="s">
        <v>20</v>
      </c>
      <c r="B43" s="1" t="s">
        <v>46</v>
      </c>
      <c r="C43" s="1" t="s">
        <v>22</v>
      </c>
      <c r="D43" s="1" t="s">
        <v>48</v>
      </c>
      <c r="E43" s="51" t="s">
        <v>107</v>
      </c>
      <c r="F43" s="51" t="s">
        <v>108</v>
      </c>
      <c r="G43" s="51" t="s">
        <v>109</v>
      </c>
      <c r="H43" s="1" t="s">
        <v>898</v>
      </c>
      <c r="I43" s="1" t="s">
        <v>128</v>
      </c>
      <c r="J43" s="51" t="s">
        <v>112</v>
      </c>
      <c r="K43" s="51" t="s">
        <v>112</v>
      </c>
      <c r="L43" s="51" t="s">
        <v>112</v>
      </c>
      <c r="M43" s="1">
        <v>2166267</v>
      </c>
      <c r="N43" s="52" t="s">
        <v>899</v>
      </c>
      <c r="O43" s="55">
        <f t="shared" si="32"/>
        <v>42842</v>
      </c>
      <c r="P43" s="55">
        <f>DATE(2020,4,17)</f>
        <v>43938</v>
      </c>
      <c r="Q43" s="51">
        <v>4100</v>
      </c>
      <c r="S43" s="51">
        <v>2.5</v>
      </c>
      <c r="U43" s="1">
        <f t="shared" si="0"/>
        <v>1097</v>
      </c>
      <c r="V43" s="31">
        <f t="shared" si="1"/>
        <v>3.7374658158614404</v>
      </c>
      <c r="W43" s="31">
        <f t="shared" si="2"/>
        <v>1364.1750227894258</v>
      </c>
      <c r="X43" s="31">
        <f t="shared" si="3"/>
        <v>1.7052187784867823</v>
      </c>
      <c r="AA43" s="32">
        <f t="shared" si="4"/>
        <v>42552</v>
      </c>
      <c r="AB43" s="32">
        <f t="shared" si="5"/>
        <v>42735</v>
      </c>
      <c r="AC43" s="1">
        <v>0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0</v>
      </c>
      <c r="AI43" s="23">
        <f t="shared" si="11"/>
        <v>0</v>
      </c>
      <c r="AJ43" s="23">
        <f t="shared" si="12"/>
        <v>0</v>
      </c>
      <c r="AK43" s="23">
        <f t="shared" si="13"/>
        <v>0</v>
      </c>
      <c r="AL43" s="23">
        <f t="shared" si="14"/>
        <v>0</v>
      </c>
      <c r="AM43" s="23">
        <f t="shared" si="15"/>
        <v>0</v>
      </c>
      <c r="AN43" s="23">
        <f t="shared" si="16"/>
        <v>0</v>
      </c>
      <c r="AQ43" s="32">
        <f t="shared" si="17"/>
        <v>42736</v>
      </c>
      <c r="AR43" s="32">
        <f t="shared" si="18"/>
        <v>42916</v>
      </c>
      <c r="AS43" s="52">
        <v>60</v>
      </c>
      <c r="AT43" s="1">
        <f t="shared" si="19"/>
        <v>0</v>
      </c>
      <c r="AU43" s="1">
        <f t="shared" si="20"/>
        <v>75</v>
      </c>
      <c r="AV43" s="1">
        <f t="shared" si="21"/>
        <v>0</v>
      </c>
      <c r="AW43" s="1">
        <f t="shared" si="22"/>
        <v>0</v>
      </c>
      <c r="AX43" s="1">
        <f t="shared" si="23"/>
        <v>0</v>
      </c>
      <c r="AY43" s="23">
        <f t="shared" si="24"/>
        <v>0.4143646408839779</v>
      </c>
      <c r="AZ43" s="23">
        <f t="shared" si="25"/>
        <v>0.70658236677629094</v>
      </c>
      <c r="BA43" s="23">
        <f t="shared" si="26"/>
        <v>42.394942006577459</v>
      </c>
      <c r="BB43" s="23">
        <f t="shared" si="27"/>
        <v>105.98735501644364</v>
      </c>
      <c r="BC43" s="23">
        <f t="shared" si="28"/>
        <v>0</v>
      </c>
      <c r="BD43" s="23">
        <f t="shared" si="29"/>
        <v>105.98735501644364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IFPA</vt:lpstr>
      <vt:lpstr>CAMPUS ABAETETUBA</vt:lpstr>
      <vt:lpstr>CAMPUS ALTAMIRA</vt:lpstr>
      <vt:lpstr>CAMPUS ANANINDEUA</vt:lpstr>
      <vt:lpstr>CAMPUS BELEM</vt:lpstr>
      <vt:lpstr>CAMPUS BRAGANCA</vt:lpstr>
      <vt:lpstr>CAMPUS CASTANHAL</vt:lpstr>
      <vt:lpstr>CAMPUS CONCEICAO DO ARAGUAIA</vt:lpstr>
      <vt:lpstr>CAMPUS MARABA INDUSTRIAL</vt:lpstr>
      <vt:lpstr>CAMPUS MARABA RURAL</vt:lpstr>
      <vt:lpstr>CAMPUS SANTAREM</vt:lpstr>
      <vt:lpstr>CAMPUS TUCURUI</vt:lpstr>
      <vt:lpstr>CAMPUS AVANÇADO VIGIA</vt:lpstr>
      <vt:lpstr>CAMPUS BREVES</vt:lpstr>
      <vt:lpstr>CAMPUS CAMETÁ</vt:lpstr>
      <vt:lpstr>CAMPUS ITAITUBA</vt:lpstr>
      <vt:lpstr>CAMPUS ÓBIDOS</vt:lpstr>
      <vt:lpstr>PARAGOMINAS</vt:lpstr>
      <vt:lpstr>CAMPUS PARAUAPEBAS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Augusto</dc:creator>
  <cp:lastModifiedBy>betiane.cavalcante</cp:lastModifiedBy>
  <dcterms:created xsi:type="dcterms:W3CDTF">2016-04-11T15:22:23Z</dcterms:created>
  <dcterms:modified xsi:type="dcterms:W3CDTF">2017-06-29T12:26:35Z</dcterms:modified>
</cp:coreProperties>
</file>